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V:\Office of Research\UFCD Grants\"/>
    </mc:Choice>
  </mc:AlternateContent>
  <xr:revisionPtr revIDLastSave="0" documentId="13_ncr:1_{5AE73D7A-88BB-4AEB-A2AC-7EF86D8BE693}" xr6:coauthVersionLast="47" xr6:coauthVersionMax="47" xr10:uidLastSave="{00000000-0000-0000-0000-000000000000}"/>
  <bookViews>
    <workbookView xWindow="-28920" yWindow="-120" windowWidth="29040" windowHeight="15840" tabRatio="500" xr2:uid="{00000000-000D-0000-FFFF-FFFF00000000}"/>
  </bookViews>
  <sheets>
    <sheet name="Budget" sheetId="3" r:id="rId1"/>
    <sheet name="Effort and OPS Salary" sheetId="11" r:id="rId2"/>
    <sheet name="Projections" sheetId="13" state="hidden" r:id="rId3"/>
    <sheet name="Cost Summary" sheetId="10" state="hidden" r:id="rId4"/>
    <sheet name="PI" sheetId="15" state="hidden" r:id="rId5"/>
    <sheet name="Co-I" sheetId="36" state="hidden" r:id="rId6"/>
    <sheet name="Co-I2" sheetId="37" state="hidden" r:id="rId7"/>
    <sheet name="Co-I3" sheetId="38" state="hidden" r:id="rId8"/>
    <sheet name="Co-I4" sheetId="39" state="hidden" r:id="rId9"/>
  </sheets>
  <definedNames>
    <definedName name="Appt">'Effort and OPS Salary'!$C$9</definedName>
    <definedName name="CAP">Budget!$B$3</definedName>
    <definedName name="CAPS">Budget!$L$3</definedName>
    <definedName name="End">'Effort and OPS Salary'!$C$7</definedName>
    <definedName name="persinflation" localSheetId="5">Budget!#REF!</definedName>
    <definedName name="persinflation" localSheetId="6">Budget!#REF!</definedName>
    <definedName name="persinflation" localSheetId="7">Budget!#REF!</definedName>
    <definedName name="persinflation" localSheetId="8">Budget!#REF!</definedName>
    <definedName name="persinflation">Budget!#REF!</definedName>
    <definedName name="Start">'Effort and OPS Salary'!$C$6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1" i="11" l="1"/>
  <c r="K22" i="11" s="1"/>
  <c r="K23" i="11" s="1"/>
  <c r="K24" i="11" s="1"/>
  <c r="K25" i="11" s="1"/>
  <c r="X49" i="10"/>
  <c r="U49" i="10"/>
  <c r="R49" i="10"/>
  <c r="Y44" i="10"/>
  <c r="Y45" i="10"/>
  <c r="Y46" i="10"/>
  <c r="Y47" i="10"/>
  <c r="Y43" i="10"/>
  <c r="V44" i="10"/>
  <c r="V45" i="10"/>
  <c r="V46" i="10"/>
  <c r="V47" i="10"/>
  <c r="V43" i="10"/>
  <c r="S44" i="10"/>
  <c r="S45" i="10"/>
  <c r="S46" i="10"/>
  <c r="S47" i="10"/>
  <c r="S43" i="10"/>
  <c r="P44" i="10"/>
  <c r="P45" i="10"/>
  <c r="P46" i="10"/>
  <c r="P47" i="10"/>
  <c r="P43" i="10"/>
  <c r="M44" i="10"/>
  <c r="M45" i="10"/>
  <c r="M46" i="10"/>
  <c r="M47" i="10"/>
  <c r="M43" i="10"/>
  <c r="J44" i="10"/>
  <c r="J45" i="10"/>
  <c r="J46" i="10"/>
  <c r="J47" i="10"/>
  <c r="J43" i="10"/>
  <c r="G44" i="10"/>
  <c r="G45" i="10"/>
  <c r="G46" i="10"/>
  <c r="G47" i="10"/>
  <c r="G43" i="10"/>
  <c r="D45" i="10"/>
  <c r="D47" i="10"/>
  <c r="C5" i="10"/>
  <c r="I5" i="10"/>
  <c r="F5" i="10"/>
  <c r="C29" i="10"/>
  <c r="C30" i="10"/>
  <c r="C31" i="10"/>
  <c r="C32" i="10"/>
  <c r="C33" i="10"/>
  <c r="C34" i="10"/>
  <c r="C35" i="10"/>
  <c r="C28" i="10"/>
  <c r="C27" i="10"/>
  <c r="A28" i="10"/>
  <c r="A29" i="10"/>
  <c r="A30" i="10"/>
  <c r="A31" i="10"/>
  <c r="A32" i="10"/>
  <c r="A33" i="10"/>
  <c r="A34" i="10"/>
  <c r="A35" i="10"/>
  <c r="A27" i="10"/>
  <c r="A13" i="13" s="1"/>
  <c r="A5" i="10"/>
  <c r="A40" i="13" l="1"/>
  <c r="A39" i="13"/>
  <c r="A36" i="13"/>
  <c r="A35" i="13"/>
  <c r="A30" i="13"/>
  <c r="A29" i="13"/>
  <c r="A27" i="13"/>
  <c r="A26" i="13"/>
  <c r="A25" i="13"/>
  <c r="I22" i="3" l="1"/>
  <c r="L20" i="11" l="1"/>
  <c r="L21" i="11" l="1"/>
  <c r="X16" i="11"/>
  <c r="V16" i="11"/>
  <c r="T16" i="11"/>
  <c r="L22" i="11" l="1"/>
  <c r="C11" i="3"/>
  <c r="C12" i="3"/>
  <c r="C13" i="3"/>
  <c r="C14" i="3"/>
  <c r="C15" i="3"/>
  <c r="C22" i="3"/>
  <c r="L23" i="11" l="1"/>
  <c r="B7" i="3"/>
  <c r="L25" i="11" l="1"/>
  <c r="L24" i="11"/>
  <c r="J16" i="11"/>
  <c r="L16" i="11"/>
  <c r="N16" i="11"/>
  <c r="P16" i="11"/>
  <c r="R16" i="11"/>
  <c r="C23" i="3" l="1"/>
  <c r="C24" i="3"/>
  <c r="C25" i="3"/>
  <c r="C26" i="3"/>
  <c r="C27" i="3"/>
  <c r="C28" i="3"/>
  <c r="C29" i="3"/>
  <c r="C30" i="3"/>
  <c r="C31" i="3"/>
  <c r="C16" i="3"/>
  <c r="C17" i="3"/>
  <c r="C18" i="3"/>
  <c r="C19" i="3"/>
  <c r="C20" i="3"/>
  <c r="I10" i="11"/>
  <c r="L10" i="11" s="1"/>
  <c r="L9" i="11"/>
  <c r="N9" i="11" s="1"/>
  <c r="P9" i="11" s="1"/>
  <c r="R9" i="11" s="1"/>
  <c r="C8" i="11"/>
  <c r="I8" i="11" l="1"/>
  <c r="F8" i="11"/>
  <c r="G7" i="11"/>
  <c r="D7" i="11" s="1"/>
  <c r="G6" i="11"/>
  <c r="F6" i="11" s="1"/>
  <c r="I11" i="11"/>
  <c r="L8" i="11"/>
  <c r="N10" i="11"/>
  <c r="D8" i="11"/>
  <c r="C31" i="39"/>
  <c r="C30" i="39"/>
  <c r="C29" i="39"/>
  <c r="C28" i="39"/>
  <c r="C27" i="39"/>
  <c r="C26" i="39"/>
  <c r="E19" i="39"/>
  <c r="E18" i="39"/>
  <c r="E17" i="39"/>
  <c r="E29" i="39" s="1"/>
  <c r="E16" i="39"/>
  <c r="E15" i="39"/>
  <c r="C31" i="38"/>
  <c r="C30" i="38"/>
  <c r="C29" i="38"/>
  <c r="C28" i="38"/>
  <c r="C27" i="38"/>
  <c r="C26" i="38"/>
  <c r="E19" i="38"/>
  <c r="E18" i="38"/>
  <c r="E17" i="38"/>
  <c r="E16" i="38"/>
  <c r="E15" i="38"/>
  <c r="E27" i="38" s="1"/>
  <c r="C31" i="37"/>
  <c r="C30" i="37"/>
  <c r="C29" i="37"/>
  <c r="C28" i="37"/>
  <c r="C27" i="37"/>
  <c r="C26" i="37"/>
  <c r="E19" i="37"/>
  <c r="E18" i="37"/>
  <c r="E17" i="37"/>
  <c r="E16" i="37"/>
  <c r="E15" i="37"/>
  <c r="C31" i="36"/>
  <c r="C30" i="36"/>
  <c r="C29" i="36"/>
  <c r="C28" i="36"/>
  <c r="C27" i="36"/>
  <c r="C26" i="36"/>
  <c r="E19" i="36"/>
  <c r="E18" i="36"/>
  <c r="E17" i="36"/>
  <c r="E16" i="36"/>
  <c r="E28" i="36" s="1"/>
  <c r="E15" i="36"/>
  <c r="C31" i="15"/>
  <c r="C30" i="15"/>
  <c r="C29" i="15"/>
  <c r="C28" i="15"/>
  <c r="C27" i="15"/>
  <c r="C26" i="15"/>
  <c r="E16" i="15"/>
  <c r="E17" i="15"/>
  <c r="E18" i="15"/>
  <c r="E19" i="15"/>
  <c r="E15" i="15"/>
  <c r="E31" i="37" l="1"/>
  <c r="J5" i="11"/>
  <c r="L5" i="11" s="1"/>
  <c r="N5" i="11" s="1"/>
  <c r="P5" i="11" s="1"/>
  <c r="R5" i="11" s="1"/>
  <c r="T5" i="11" s="1"/>
  <c r="V5" i="11" s="1"/>
  <c r="X5" i="11" s="1"/>
  <c r="E31" i="36"/>
  <c r="E31" i="39"/>
  <c r="E27" i="39"/>
  <c r="E29" i="38"/>
  <c r="E27" i="37"/>
  <c r="E30" i="39"/>
  <c r="N8" i="11"/>
  <c r="P10" i="11"/>
  <c r="E27" i="36"/>
  <c r="E29" i="36"/>
  <c r="E30" i="38"/>
  <c r="E31" i="38"/>
  <c r="E28" i="37"/>
  <c r="E30" i="36"/>
  <c r="E29" i="37"/>
  <c r="E30" i="37"/>
  <c r="E28" i="38"/>
  <c r="E28" i="39"/>
  <c r="E21" i="39"/>
  <c r="E21" i="38"/>
  <c r="E21" i="37"/>
  <c r="E21" i="36"/>
  <c r="AD50" i="3"/>
  <c r="AD48" i="3"/>
  <c r="AD40" i="3"/>
  <c r="AD38" i="3"/>
  <c r="AD37" i="3"/>
  <c r="C35" i="13" s="1"/>
  <c r="AD36" i="3"/>
  <c r="P8" i="11" l="1"/>
  <c r="R10" i="11"/>
  <c r="R8" i="11" s="1"/>
  <c r="C12" i="39"/>
  <c r="B12" i="39"/>
  <c r="A12" i="39"/>
  <c r="C12" i="38"/>
  <c r="B12" i="38"/>
  <c r="A12" i="38"/>
  <c r="C12" i="37"/>
  <c r="B12" i="37"/>
  <c r="A12" i="37"/>
  <c r="C12" i="36"/>
  <c r="B12" i="36"/>
  <c r="A12" i="36"/>
  <c r="C65" i="39"/>
  <c r="AA57" i="39"/>
  <c r="AA52" i="39"/>
  <c r="AA51" i="39"/>
  <c r="Z50" i="39"/>
  <c r="Z53" i="39" s="1"/>
  <c r="W50" i="39"/>
  <c r="W53" i="39" s="1"/>
  <c r="T50" i="39"/>
  <c r="T53" i="39" s="1"/>
  <c r="AA49" i="39"/>
  <c r="Q47" i="39"/>
  <c r="N47" i="39"/>
  <c r="K47" i="39"/>
  <c r="H47" i="39"/>
  <c r="E47" i="39"/>
  <c r="AA46" i="39"/>
  <c r="C46" i="39"/>
  <c r="AA45" i="39"/>
  <c r="C45" i="39"/>
  <c r="AA44" i="39"/>
  <c r="C44" i="39"/>
  <c r="AA43" i="39"/>
  <c r="C43" i="39"/>
  <c r="AA42" i="39"/>
  <c r="C42" i="39"/>
  <c r="AA41" i="39"/>
  <c r="C41" i="39"/>
  <c r="AA40" i="39"/>
  <c r="C40" i="39"/>
  <c r="AA39" i="39"/>
  <c r="C39" i="39"/>
  <c r="AA38" i="39"/>
  <c r="C38" i="39"/>
  <c r="AA37" i="39"/>
  <c r="C37" i="39"/>
  <c r="AF20" i="39"/>
  <c r="AF19" i="39"/>
  <c r="AF18" i="39"/>
  <c r="AF17" i="39"/>
  <c r="AF16" i="39"/>
  <c r="B7" i="39"/>
  <c r="B6" i="39"/>
  <c r="B5" i="39"/>
  <c r="B4" i="39"/>
  <c r="B3" i="39"/>
  <c r="B2" i="39"/>
  <c r="C65" i="38"/>
  <c r="AA57" i="38"/>
  <c r="AA52" i="38"/>
  <c r="AA51" i="38"/>
  <c r="Z50" i="38"/>
  <c r="Z53" i="38" s="1"/>
  <c r="W50" i="38"/>
  <c r="W53" i="38" s="1"/>
  <c r="T50" i="38"/>
  <c r="T53" i="38" s="1"/>
  <c r="AA49" i="38"/>
  <c r="Q47" i="38"/>
  <c r="N47" i="38"/>
  <c r="K47" i="38"/>
  <c r="H47" i="38"/>
  <c r="E47" i="38"/>
  <c r="AA47" i="38" s="1"/>
  <c r="AA46" i="38"/>
  <c r="C46" i="38"/>
  <c r="AA45" i="38"/>
  <c r="C45" i="38"/>
  <c r="AA44" i="38"/>
  <c r="C44" i="38"/>
  <c r="AA43" i="38"/>
  <c r="C43" i="38"/>
  <c r="AA42" i="38"/>
  <c r="C42" i="38"/>
  <c r="AA41" i="38"/>
  <c r="C41" i="38"/>
  <c r="AA40" i="38"/>
  <c r="C40" i="38"/>
  <c r="AA39" i="38"/>
  <c r="C39" i="38"/>
  <c r="AA38" i="38"/>
  <c r="C38" i="38"/>
  <c r="AA37" i="38"/>
  <c r="C37" i="38"/>
  <c r="AH20" i="38"/>
  <c r="AF20" i="38"/>
  <c r="H19" i="38" s="1"/>
  <c r="H31" i="38" s="1"/>
  <c r="AF19" i="38"/>
  <c r="AF18" i="38"/>
  <c r="AF17" i="38"/>
  <c r="AF16" i="38"/>
  <c r="B7" i="38"/>
  <c r="B6" i="38"/>
  <c r="B5" i="38"/>
  <c r="B4" i="38"/>
  <c r="B3" i="38"/>
  <c r="B2" i="38"/>
  <c r="C65" i="37"/>
  <c r="AA57" i="37"/>
  <c r="AA52" i="37"/>
  <c r="AA51" i="37"/>
  <c r="Z50" i="37"/>
  <c r="Z53" i="37" s="1"/>
  <c r="W50" i="37"/>
  <c r="W53" i="37" s="1"/>
  <c r="T50" i="37"/>
  <c r="T53" i="37" s="1"/>
  <c r="AA49" i="37"/>
  <c r="Q47" i="37"/>
  <c r="N47" i="37"/>
  <c r="K47" i="37"/>
  <c r="H47" i="37"/>
  <c r="E47" i="37"/>
  <c r="AA46" i="37"/>
  <c r="C46" i="37"/>
  <c r="AA45" i="37"/>
  <c r="C45" i="37"/>
  <c r="AA44" i="37"/>
  <c r="C44" i="37"/>
  <c r="AA43" i="37"/>
  <c r="C43" i="37"/>
  <c r="AA42" i="37"/>
  <c r="C42" i="37"/>
  <c r="AA41" i="37"/>
  <c r="C41" i="37"/>
  <c r="AA40" i="37"/>
  <c r="C40" i="37"/>
  <c r="AA39" i="37"/>
  <c r="C39" i="37"/>
  <c r="AA38" i="37"/>
  <c r="C38" i="37"/>
  <c r="AA37" i="37"/>
  <c r="C37" i="37"/>
  <c r="AF20" i="37"/>
  <c r="AF19" i="37"/>
  <c r="AF18" i="37"/>
  <c r="AF17" i="37"/>
  <c r="AF16" i="37"/>
  <c r="B7" i="37"/>
  <c r="B6" i="37"/>
  <c r="B5" i="37"/>
  <c r="B4" i="37"/>
  <c r="B3" i="37"/>
  <c r="B2" i="37"/>
  <c r="C65" i="36"/>
  <c r="AA57" i="36"/>
  <c r="AA52" i="36"/>
  <c r="AA51" i="36"/>
  <c r="Z50" i="36"/>
  <c r="Z53" i="36" s="1"/>
  <c r="W50" i="36"/>
  <c r="W53" i="36" s="1"/>
  <c r="T50" i="36"/>
  <c r="T53" i="36" s="1"/>
  <c r="AA49" i="36"/>
  <c r="Q47" i="36"/>
  <c r="N47" i="36"/>
  <c r="K47" i="36"/>
  <c r="H47" i="36"/>
  <c r="E47" i="36"/>
  <c r="AA47" i="36" s="1"/>
  <c r="AA46" i="36"/>
  <c r="C46" i="36"/>
  <c r="AA45" i="36"/>
  <c r="C45" i="36"/>
  <c r="AA44" i="36"/>
  <c r="C44" i="36"/>
  <c r="AA43" i="36"/>
  <c r="C43" i="36"/>
  <c r="AA42" i="36"/>
  <c r="C42" i="36"/>
  <c r="AA41" i="36"/>
  <c r="C41" i="36"/>
  <c r="AA40" i="36"/>
  <c r="C40" i="36"/>
  <c r="AA39" i="36"/>
  <c r="C39" i="36"/>
  <c r="AA38" i="36"/>
  <c r="C38" i="36"/>
  <c r="AA37" i="36"/>
  <c r="C37" i="36"/>
  <c r="AF20" i="36"/>
  <c r="AF19" i="36"/>
  <c r="AF18" i="36"/>
  <c r="AF17" i="36"/>
  <c r="AF16" i="36"/>
  <c r="B7" i="36"/>
  <c r="B6" i="36"/>
  <c r="B5" i="36"/>
  <c r="B4" i="36"/>
  <c r="B3" i="36"/>
  <c r="B2" i="36"/>
  <c r="AA37" i="15"/>
  <c r="C37" i="15"/>
  <c r="Z50" i="15"/>
  <c r="Z53" i="15" s="1"/>
  <c r="W50" i="15"/>
  <c r="W53" i="15" s="1"/>
  <c r="T50" i="15"/>
  <c r="T53" i="15" s="1"/>
  <c r="C65" i="15"/>
  <c r="AA57" i="15"/>
  <c r="AA51" i="15"/>
  <c r="AA52" i="15"/>
  <c r="AA49" i="15"/>
  <c r="AA38" i="15"/>
  <c r="AA39" i="15"/>
  <c r="AA40" i="15"/>
  <c r="AA41" i="15"/>
  <c r="AA42" i="15"/>
  <c r="AA43" i="15"/>
  <c r="AA44" i="15"/>
  <c r="AA45" i="15"/>
  <c r="AA46" i="15"/>
  <c r="B4" i="15"/>
  <c r="AH17" i="38" l="1"/>
  <c r="K16" i="38" s="1"/>
  <c r="K28" i="38" s="1"/>
  <c r="H16" i="38"/>
  <c r="H28" i="38" s="1"/>
  <c r="AH18" i="36"/>
  <c r="K17" i="36" s="1"/>
  <c r="K29" i="36" s="1"/>
  <c r="H17" i="36"/>
  <c r="H29" i="36" s="1"/>
  <c r="AH18" i="38"/>
  <c r="K17" i="38" s="1"/>
  <c r="K29" i="38" s="1"/>
  <c r="H17" i="38"/>
  <c r="H29" i="38" s="1"/>
  <c r="AH19" i="36"/>
  <c r="K18" i="36" s="1"/>
  <c r="K30" i="36" s="1"/>
  <c r="H18" i="36"/>
  <c r="H30" i="36" s="1"/>
  <c r="AH19" i="38"/>
  <c r="K18" i="38" s="1"/>
  <c r="K30" i="38" s="1"/>
  <c r="H18" i="38"/>
  <c r="H30" i="38" s="1"/>
  <c r="AH17" i="36"/>
  <c r="K16" i="36" s="1"/>
  <c r="K28" i="36" s="1"/>
  <c r="H16" i="36"/>
  <c r="H28" i="36" s="1"/>
  <c r="AH20" i="36"/>
  <c r="K19" i="36" s="1"/>
  <c r="K31" i="36" s="1"/>
  <c r="H19" i="36"/>
  <c r="H31" i="36" s="1"/>
  <c r="AH16" i="37"/>
  <c r="K15" i="37" s="1"/>
  <c r="H15" i="37"/>
  <c r="AH16" i="39"/>
  <c r="K15" i="39" s="1"/>
  <c r="H15" i="39"/>
  <c r="AH18" i="37"/>
  <c r="K17" i="37" s="1"/>
  <c r="K29" i="37" s="1"/>
  <c r="H17" i="37"/>
  <c r="H29" i="37" s="1"/>
  <c r="AH17" i="39"/>
  <c r="K16" i="39" s="1"/>
  <c r="K28" i="39" s="1"/>
  <c r="H16" i="39"/>
  <c r="H28" i="39" s="1"/>
  <c r="AA47" i="39"/>
  <c r="AH17" i="37"/>
  <c r="K16" i="37" s="1"/>
  <c r="K28" i="37" s="1"/>
  <c r="H16" i="37"/>
  <c r="H28" i="37" s="1"/>
  <c r="AH19" i="37"/>
  <c r="K18" i="37" s="1"/>
  <c r="K30" i="37" s="1"/>
  <c r="H18" i="37"/>
  <c r="H30" i="37" s="1"/>
  <c r="AA47" i="37"/>
  <c r="AH18" i="39"/>
  <c r="K17" i="39" s="1"/>
  <c r="K29" i="39" s="1"/>
  <c r="H17" i="39"/>
  <c r="H29" i="39" s="1"/>
  <c r="AH20" i="39"/>
  <c r="K19" i="39" s="1"/>
  <c r="K31" i="39" s="1"/>
  <c r="H19" i="39"/>
  <c r="H31" i="39" s="1"/>
  <c r="AJ20" i="38"/>
  <c r="N19" i="38" s="1"/>
  <c r="N31" i="38" s="1"/>
  <c r="K19" i="38"/>
  <c r="K31" i="38" s="1"/>
  <c r="AH16" i="36"/>
  <c r="K15" i="36" s="1"/>
  <c r="H15" i="36"/>
  <c r="AH20" i="37"/>
  <c r="K19" i="37" s="1"/>
  <c r="K31" i="37" s="1"/>
  <c r="H19" i="37"/>
  <c r="H31" i="37" s="1"/>
  <c r="AH16" i="38"/>
  <c r="K15" i="38" s="1"/>
  <c r="H15" i="38"/>
  <c r="AH19" i="39"/>
  <c r="K18" i="39" s="1"/>
  <c r="K30" i="39" s="1"/>
  <c r="H18" i="39"/>
  <c r="H30" i="39" s="1"/>
  <c r="B8" i="38"/>
  <c r="F8" i="38" s="1"/>
  <c r="F9" i="38" s="1"/>
  <c r="B8" i="39"/>
  <c r="L8" i="39" s="1"/>
  <c r="B8" i="36"/>
  <c r="C8" i="36" s="1"/>
  <c r="B8" i="37"/>
  <c r="U8" i="37" s="1"/>
  <c r="AJ18" i="39"/>
  <c r="N17" i="39" s="1"/>
  <c r="N29" i="39" s="1"/>
  <c r="AJ17" i="39"/>
  <c r="N16" i="39" s="1"/>
  <c r="N28" i="39" s="1"/>
  <c r="AJ16" i="39"/>
  <c r="N15" i="39" s="1"/>
  <c r="AJ19" i="39"/>
  <c r="N18" i="39" s="1"/>
  <c r="N30" i="39" s="1"/>
  <c r="AJ20" i="39"/>
  <c r="N19" i="39" s="1"/>
  <c r="N31" i="39" s="1"/>
  <c r="AJ16" i="38"/>
  <c r="N15" i="38" s="1"/>
  <c r="AJ19" i="38"/>
  <c r="N18" i="38" s="1"/>
  <c r="N30" i="38" s="1"/>
  <c r="AJ17" i="38"/>
  <c r="N16" i="38" s="1"/>
  <c r="N28" i="38" s="1"/>
  <c r="AL20" i="38"/>
  <c r="Q19" i="38" s="1"/>
  <c r="Q31" i="38" s="1"/>
  <c r="AJ18" i="38"/>
  <c r="N17" i="38" s="1"/>
  <c r="N29" i="38" s="1"/>
  <c r="AJ19" i="37"/>
  <c r="N18" i="37" s="1"/>
  <c r="N30" i="37" s="1"/>
  <c r="AJ18" i="37"/>
  <c r="N17" i="37" s="1"/>
  <c r="N29" i="37" s="1"/>
  <c r="AJ16" i="37"/>
  <c r="N15" i="37" s="1"/>
  <c r="AJ20" i="37"/>
  <c r="N19" i="37" s="1"/>
  <c r="N31" i="37" s="1"/>
  <c r="AJ17" i="36"/>
  <c r="N16" i="36" s="1"/>
  <c r="N28" i="36" s="1"/>
  <c r="AJ18" i="36"/>
  <c r="N17" i="36" s="1"/>
  <c r="N29" i="36" s="1"/>
  <c r="AJ16" i="36"/>
  <c r="N15" i="36" s="1"/>
  <c r="AJ19" i="36"/>
  <c r="N18" i="36" s="1"/>
  <c r="N30" i="36" s="1"/>
  <c r="AJ20" i="36"/>
  <c r="N19" i="36" s="1"/>
  <c r="N31" i="36" s="1"/>
  <c r="H27" i="38" l="1"/>
  <c r="H21" i="38"/>
  <c r="H27" i="37"/>
  <c r="H21" i="37"/>
  <c r="K27" i="38"/>
  <c r="K21" i="38"/>
  <c r="K21" i="37"/>
  <c r="K27" i="37"/>
  <c r="H27" i="36"/>
  <c r="H21" i="36"/>
  <c r="K21" i="36"/>
  <c r="K27" i="36"/>
  <c r="N27" i="36"/>
  <c r="N21" i="36"/>
  <c r="N21" i="37"/>
  <c r="N27" i="37"/>
  <c r="AJ17" i="37"/>
  <c r="N16" i="37" s="1"/>
  <c r="N28" i="37" s="1"/>
  <c r="H27" i="39"/>
  <c r="H21" i="39"/>
  <c r="N27" i="38"/>
  <c r="N21" i="38"/>
  <c r="N27" i="39"/>
  <c r="N21" i="39"/>
  <c r="K21" i="39"/>
  <c r="K27" i="39"/>
  <c r="F8" i="36"/>
  <c r="F9" i="36" s="1"/>
  <c r="R8" i="36"/>
  <c r="R9" i="36" s="1"/>
  <c r="L8" i="36"/>
  <c r="O8" i="36"/>
  <c r="O9" i="36" s="1"/>
  <c r="I8" i="36"/>
  <c r="J12" i="36" s="1"/>
  <c r="U8" i="36"/>
  <c r="U9" i="36" s="1"/>
  <c r="X8" i="36"/>
  <c r="X9" i="36" s="1"/>
  <c r="B9" i="36"/>
  <c r="R8" i="37"/>
  <c r="R9" i="37" s="1"/>
  <c r="O8" i="37"/>
  <c r="X8" i="37"/>
  <c r="X9" i="37" s="1"/>
  <c r="R8" i="38"/>
  <c r="R9" i="38" s="1"/>
  <c r="X8" i="38"/>
  <c r="Y12" i="38" s="1"/>
  <c r="O8" i="38"/>
  <c r="L8" i="38"/>
  <c r="L9" i="38" s="1"/>
  <c r="L8" i="37"/>
  <c r="M12" i="37" s="1"/>
  <c r="C8" i="39"/>
  <c r="C9" i="39" s="1"/>
  <c r="C8" i="37"/>
  <c r="C9" i="37" s="1"/>
  <c r="B9" i="37"/>
  <c r="F8" i="37"/>
  <c r="G12" i="37" s="1"/>
  <c r="I8" i="37"/>
  <c r="J12" i="37" s="1"/>
  <c r="I8" i="39"/>
  <c r="I9" i="39" s="1"/>
  <c r="F8" i="39"/>
  <c r="F9" i="39" s="1"/>
  <c r="U8" i="38"/>
  <c r="V12" i="38" s="1"/>
  <c r="R8" i="39"/>
  <c r="R9" i="39" s="1"/>
  <c r="U8" i="39"/>
  <c r="U9" i="39" s="1"/>
  <c r="I8" i="38"/>
  <c r="I9" i="38" s="1"/>
  <c r="X8" i="39"/>
  <c r="X9" i="39" s="1"/>
  <c r="B9" i="39"/>
  <c r="C8" i="38"/>
  <c r="C9" i="38" s="1"/>
  <c r="B9" i="38"/>
  <c r="O8" i="39"/>
  <c r="O9" i="39" s="1"/>
  <c r="G12" i="38"/>
  <c r="AL19" i="39"/>
  <c r="Q18" i="39" s="1"/>
  <c r="Q30" i="39" s="1"/>
  <c r="AL16" i="39"/>
  <c r="Q15" i="39" s="1"/>
  <c r="AL18" i="39"/>
  <c r="Q17" i="39" s="1"/>
  <c r="Q29" i="39" s="1"/>
  <c r="L9" i="39"/>
  <c r="M12" i="39"/>
  <c r="AL20" i="39"/>
  <c r="Q19" i="39" s="1"/>
  <c r="Q31" i="39" s="1"/>
  <c r="AL17" i="39"/>
  <c r="Q16" i="39" s="1"/>
  <c r="Q28" i="39" s="1"/>
  <c r="AL19" i="38"/>
  <c r="Q18" i="38" s="1"/>
  <c r="Q30" i="38" s="1"/>
  <c r="AN20" i="38"/>
  <c r="T19" i="38" s="1"/>
  <c r="T31" i="38" s="1"/>
  <c r="AL18" i="38"/>
  <c r="Q17" i="38" s="1"/>
  <c r="Q29" i="38" s="1"/>
  <c r="AL17" i="38"/>
  <c r="Q16" i="38" s="1"/>
  <c r="Q28" i="38" s="1"/>
  <c r="P12" i="38"/>
  <c r="O9" i="38"/>
  <c r="AL16" i="38"/>
  <c r="Q15" i="38" s="1"/>
  <c r="P12" i="37"/>
  <c r="O9" i="37"/>
  <c r="AL18" i="37"/>
  <c r="Q17" i="37" s="1"/>
  <c r="Q29" i="37" s="1"/>
  <c r="U9" i="37"/>
  <c r="V12" i="37"/>
  <c r="AL17" i="37"/>
  <c r="Q16" i="37" s="1"/>
  <c r="Q28" i="37" s="1"/>
  <c r="AL19" i="37"/>
  <c r="Q18" i="37" s="1"/>
  <c r="Q30" i="37" s="1"/>
  <c r="AL20" i="37"/>
  <c r="Q19" i="37" s="1"/>
  <c r="Q31" i="37" s="1"/>
  <c r="AL16" i="37"/>
  <c r="Q15" i="37" s="1"/>
  <c r="AL18" i="36"/>
  <c r="Q17" i="36" s="1"/>
  <c r="Q29" i="36" s="1"/>
  <c r="S12" i="36"/>
  <c r="AL19" i="36"/>
  <c r="Q18" i="36" s="1"/>
  <c r="Q30" i="36" s="1"/>
  <c r="AL16" i="36"/>
  <c r="Q15" i="36" s="1"/>
  <c r="I9" i="36"/>
  <c r="C9" i="36"/>
  <c r="D12" i="36"/>
  <c r="AL20" i="36"/>
  <c r="Q19" i="36" s="1"/>
  <c r="Q31" i="36" s="1"/>
  <c r="P12" i="36"/>
  <c r="M12" i="36"/>
  <c r="L9" i="36"/>
  <c r="AL17" i="36"/>
  <c r="Q16" i="36" s="1"/>
  <c r="Q28" i="36" s="1"/>
  <c r="Q21" i="39" l="1"/>
  <c r="Q27" i="39"/>
  <c r="Q21" i="38"/>
  <c r="Q27" i="38"/>
  <c r="Q21" i="36"/>
  <c r="Q27" i="36"/>
  <c r="Q21" i="37"/>
  <c r="Q27" i="37"/>
  <c r="S12" i="38"/>
  <c r="G12" i="36"/>
  <c r="V12" i="36"/>
  <c r="Y12" i="36"/>
  <c r="S12" i="37"/>
  <c r="F9" i="37"/>
  <c r="X9" i="38"/>
  <c r="Y12" i="37"/>
  <c r="U9" i="38"/>
  <c r="M12" i="38"/>
  <c r="D12" i="39"/>
  <c r="D12" i="37"/>
  <c r="L9" i="37"/>
  <c r="P12" i="39"/>
  <c r="V12" i="39"/>
  <c r="I9" i="37"/>
  <c r="J12" i="38"/>
  <c r="J12" i="39"/>
  <c r="S12" i="39"/>
  <c r="Y12" i="39"/>
  <c r="G12" i="39"/>
  <c r="D12" i="38"/>
  <c r="AN19" i="39"/>
  <c r="T18" i="39" s="1"/>
  <c r="T30" i="39" s="1"/>
  <c r="AN16" i="39"/>
  <c r="T15" i="39" s="1"/>
  <c r="AN17" i="39"/>
  <c r="T16" i="39" s="1"/>
  <c r="T28" i="39" s="1"/>
  <c r="AN20" i="39"/>
  <c r="T19" i="39" s="1"/>
  <c r="T31" i="39" s="1"/>
  <c r="AN18" i="39"/>
  <c r="T17" i="39" s="1"/>
  <c r="T29" i="39" s="1"/>
  <c r="AN17" i="38"/>
  <c r="T16" i="38" s="1"/>
  <c r="T28" i="38" s="1"/>
  <c r="AP20" i="38"/>
  <c r="W19" i="38" s="1"/>
  <c r="W31" i="38" s="1"/>
  <c r="AN18" i="38"/>
  <c r="T17" i="38" s="1"/>
  <c r="T29" i="38" s="1"/>
  <c r="AN16" i="38"/>
  <c r="T15" i="38" s="1"/>
  <c r="AN19" i="38"/>
  <c r="T18" i="38" s="1"/>
  <c r="T30" i="38" s="1"/>
  <c r="AN17" i="37"/>
  <c r="T16" i="37" s="1"/>
  <c r="T28" i="37" s="1"/>
  <c r="AN20" i="37"/>
  <c r="T19" i="37" s="1"/>
  <c r="T31" i="37" s="1"/>
  <c r="AN19" i="37"/>
  <c r="T18" i="37" s="1"/>
  <c r="T30" i="37" s="1"/>
  <c r="AN18" i="37"/>
  <c r="T17" i="37" s="1"/>
  <c r="T29" i="37" s="1"/>
  <c r="AN16" i="37"/>
  <c r="T15" i="37" s="1"/>
  <c r="AN16" i="36"/>
  <c r="T15" i="36" s="1"/>
  <c r="AN20" i="36"/>
  <c r="T19" i="36" s="1"/>
  <c r="T31" i="36" s="1"/>
  <c r="AN18" i="36"/>
  <c r="T17" i="36" s="1"/>
  <c r="T29" i="36" s="1"/>
  <c r="AN17" i="36"/>
  <c r="T16" i="36" s="1"/>
  <c r="T28" i="36" s="1"/>
  <c r="AN19" i="36"/>
  <c r="T18" i="36" s="1"/>
  <c r="T30" i="36" s="1"/>
  <c r="T21" i="36" l="1"/>
  <c r="T27" i="36"/>
  <c r="T21" i="39"/>
  <c r="T27" i="39"/>
  <c r="T21" i="38"/>
  <c r="T27" i="38"/>
  <c r="T21" i="37"/>
  <c r="T27" i="37"/>
  <c r="AP18" i="39"/>
  <c r="W17" i="39" s="1"/>
  <c r="W29" i="39" s="1"/>
  <c r="AP16" i="39"/>
  <c r="W15" i="39" s="1"/>
  <c r="AP17" i="39"/>
  <c r="W16" i="39" s="1"/>
  <c r="W28" i="39" s="1"/>
  <c r="AP20" i="39"/>
  <c r="W19" i="39" s="1"/>
  <c r="W31" i="39" s="1"/>
  <c r="AP19" i="39"/>
  <c r="W18" i="39" s="1"/>
  <c r="W30" i="39" s="1"/>
  <c r="AR20" i="38"/>
  <c r="Z19" i="38" s="1"/>
  <c r="Z31" i="38" s="1"/>
  <c r="AA31" i="38" s="1"/>
  <c r="AP19" i="38"/>
  <c r="W18" i="38" s="1"/>
  <c r="W30" i="38" s="1"/>
  <c r="AP16" i="38"/>
  <c r="W15" i="38" s="1"/>
  <c r="AP17" i="38"/>
  <c r="W16" i="38" s="1"/>
  <c r="W28" i="38" s="1"/>
  <c r="AP18" i="38"/>
  <c r="W17" i="38" s="1"/>
  <c r="W29" i="38" s="1"/>
  <c r="AP18" i="37"/>
  <c r="W17" i="37" s="1"/>
  <c r="W29" i="37" s="1"/>
  <c r="AP20" i="37"/>
  <c r="W19" i="37" s="1"/>
  <c r="W31" i="37" s="1"/>
  <c r="AP19" i="37"/>
  <c r="W18" i="37" s="1"/>
  <c r="W30" i="37" s="1"/>
  <c r="AP17" i="37"/>
  <c r="W16" i="37" s="1"/>
  <c r="W28" i="37" s="1"/>
  <c r="AP16" i="37"/>
  <c r="W15" i="37" s="1"/>
  <c r="AP17" i="36"/>
  <c r="W16" i="36" s="1"/>
  <c r="W28" i="36" s="1"/>
  <c r="AP16" i="36"/>
  <c r="W15" i="36" s="1"/>
  <c r="AP18" i="36"/>
  <c r="W17" i="36" s="1"/>
  <c r="W29" i="36" s="1"/>
  <c r="AP19" i="36"/>
  <c r="W18" i="36" s="1"/>
  <c r="W30" i="36" s="1"/>
  <c r="AP20" i="36"/>
  <c r="W19" i="36" s="1"/>
  <c r="W31" i="36" s="1"/>
  <c r="AA19" i="38" l="1"/>
  <c r="W21" i="36"/>
  <c r="W27" i="36"/>
  <c r="W27" i="38"/>
  <c r="W21" i="38"/>
  <c r="W21" i="39"/>
  <c r="W27" i="39"/>
  <c r="W27" i="37"/>
  <c r="W21" i="37"/>
  <c r="AA28" i="39"/>
  <c r="AR17" i="39"/>
  <c r="Z16" i="39" s="1"/>
  <c r="Z28" i="39" s="1"/>
  <c r="AR16" i="39"/>
  <c r="Z15" i="39" s="1"/>
  <c r="AR19" i="39"/>
  <c r="Z18" i="39" s="1"/>
  <c r="Z30" i="39" s="1"/>
  <c r="AA30" i="39" s="1"/>
  <c r="AR18" i="39"/>
  <c r="Z17" i="39" s="1"/>
  <c r="Z29" i="39" s="1"/>
  <c r="AA29" i="39" s="1"/>
  <c r="AR20" i="39"/>
  <c r="Z19" i="39" s="1"/>
  <c r="Z31" i="39" s="1"/>
  <c r="AA16" i="39"/>
  <c r="AR19" i="38"/>
  <c r="Z18" i="38" s="1"/>
  <c r="Z30" i="38" s="1"/>
  <c r="AA29" i="38"/>
  <c r="AR18" i="38"/>
  <c r="Z17" i="38" s="1"/>
  <c r="Z29" i="38" s="1"/>
  <c r="AR17" i="38"/>
  <c r="Z16" i="38" s="1"/>
  <c r="Z28" i="38" s="1"/>
  <c r="AR16" i="38"/>
  <c r="AR17" i="37"/>
  <c r="Z16" i="37" s="1"/>
  <c r="Z28" i="37" s="1"/>
  <c r="AA28" i="37" s="1"/>
  <c r="AA29" i="37"/>
  <c r="AR18" i="37"/>
  <c r="Z17" i="37" s="1"/>
  <c r="Z29" i="37" s="1"/>
  <c r="AR16" i="37"/>
  <c r="Z15" i="37" s="1"/>
  <c r="AR19" i="37"/>
  <c r="Z18" i="37" s="1"/>
  <c r="Z30" i="37" s="1"/>
  <c r="AA30" i="37" s="1"/>
  <c r="AR20" i="37"/>
  <c r="Z19" i="37" s="1"/>
  <c r="Z31" i="37" s="1"/>
  <c r="AR18" i="36"/>
  <c r="Z17" i="36" s="1"/>
  <c r="Z29" i="36" s="1"/>
  <c r="AR17" i="36"/>
  <c r="Z16" i="36" s="1"/>
  <c r="Z28" i="36" s="1"/>
  <c r="AR19" i="36"/>
  <c r="Z18" i="36" s="1"/>
  <c r="Z30" i="36" s="1"/>
  <c r="AR20" i="36"/>
  <c r="Z19" i="36" s="1"/>
  <c r="Z31" i="36" s="1"/>
  <c r="AR16" i="36"/>
  <c r="Z15" i="36" s="1"/>
  <c r="Z21" i="36" l="1"/>
  <c r="Z27" i="36"/>
  <c r="Z15" i="38"/>
  <c r="AA15" i="36"/>
  <c r="Z21" i="37"/>
  <c r="Z27" i="37"/>
  <c r="Z27" i="39"/>
  <c r="Z21" i="39"/>
  <c r="AA17" i="37"/>
  <c r="AA30" i="36"/>
  <c r="AA17" i="39"/>
  <c r="AA21" i="39"/>
  <c r="AA19" i="39"/>
  <c r="AA31" i="39"/>
  <c r="AA15" i="39"/>
  <c r="AA18" i="39"/>
  <c r="AA17" i="38"/>
  <c r="AA30" i="38"/>
  <c r="AA18" i="38"/>
  <c r="AA16" i="38"/>
  <c r="AA28" i="38"/>
  <c r="AA16" i="37"/>
  <c r="AA18" i="37"/>
  <c r="AA15" i="37"/>
  <c r="AA31" i="37"/>
  <c r="AA19" i="37"/>
  <c r="AA21" i="37"/>
  <c r="AA17" i="36"/>
  <c r="AA29" i="36"/>
  <c r="AA31" i="36"/>
  <c r="AA19" i="36"/>
  <c r="AA16" i="36"/>
  <c r="AA18" i="36"/>
  <c r="AA28" i="36"/>
  <c r="Z21" i="38" l="1"/>
  <c r="Z27" i="38"/>
  <c r="AA15" i="38"/>
  <c r="AA27" i="39"/>
  <c r="AA21" i="38"/>
  <c r="AA27" i="38"/>
  <c r="AA27" i="37"/>
  <c r="AA21" i="36"/>
  <c r="AA27" i="36"/>
  <c r="AD39" i="3" l="1"/>
  <c r="AD41" i="3"/>
  <c r="AD42" i="3"/>
  <c r="AD43" i="3"/>
  <c r="AD44" i="3"/>
  <c r="AD45" i="3"/>
  <c r="AD51" i="3"/>
  <c r="AD56" i="3"/>
  <c r="E23" i="3" l="1"/>
  <c r="E24" i="3"/>
  <c r="E25" i="3"/>
  <c r="E26" i="3"/>
  <c r="E27" i="3"/>
  <c r="E28" i="3"/>
  <c r="E29" i="3"/>
  <c r="E30" i="3"/>
  <c r="E31" i="3"/>
  <c r="E22" i="3"/>
  <c r="E12" i="3"/>
  <c r="E13" i="3"/>
  <c r="E14" i="3"/>
  <c r="E15" i="3"/>
  <c r="E16" i="3"/>
  <c r="E17" i="3"/>
  <c r="E18" i="3"/>
  <c r="E19" i="3"/>
  <c r="E20" i="3"/>
  <c r="E11" i="3"/>
  <c r="Y41" i="10"/>
  <c r="Y48" i="10" s="1"/>
  <c r="V41" i="10"/>
  <c r="V48" i="10" s="1"/>
  <c r="S41" i="10"/>
  <c r="S48" i="10" s="1"/>
  <c r="P41" i="10"/>
  <c r="P48" i="10" s="1"/>
  <c r="M41" i="10"/>
  <c r="M48" i="10" s="1"/>
  <c r="J41" i="10"/>
  <c r="J48" i="10" s="1"/>
  <c r="G41" i="10"/>
  <c r="G48" i="10" s="1"/>
  <c r="D44" i="10"/>
  <c r="D46" i="10"/>
  <c r="D43" i="10"/>
  <c r="D41" i="10"/>
  <c r="D48" i="10" l="1"/>
  <c r="J36" i="13"/>
  <c r="C41" i="13" l="1"/>
  <c r="AC52" i="3" l="1"/>
  <c r="Z52" i="3"/>
  <c r="W52" i="3"/>
  <c r="D24" i="13"/>
  <c r="J42" i="13" l="1"/>
  <c r="J43" i="13"/>
  <c r="F77" i="13"/>
  <c r="E62" i="13"/>
  <c r="E63" i="13"/>
  <c r="E64" i="13"/>
  <c r="E65" i="13"/>
  <c r="E66" i="13"/>
  <c r="E67" i="13"/>
  <c r="E68" i="13"/>
  <c r="E69" i="13"/>
  <c r="E70" i="13"/>
  <c r="E71" i="13"/>
  <c r="E72" i="13"/>
  <c r="E61" i="13"/>
  <c r="E53" i="13"/>
  <c r="E54" i="13"/>
  <c r="E55" i="13"/>
  <c r="E56" i="13"/>
  <c r="E52" i="13"/>
  <c r="H41" i="13" l="1"/>
  <c r="H32" i="13"/>
  <c r="H31" i="13"/>
  <c r="H30" i="13"/>
  <c r="H29" i="13"/>
  <c r="H28" i="13"/>
  <c r="H27" i="13"/>
  <c r="H26" i="13"/>
  <c r="H25" i="13"/>
  <c r="H24" i="13"/>
  <c r="J26" i="13"/>
  <c r="J27" i="13"/>
  <c r="J28" i="13"/>
  <c r="A28" i="13"/>
  <c r="J29" i="13" s="1"/>
  <c r="J30" i="13"/>
  <c r="J31" i="13"/>
  <c r="A31" i="13"/>
  <c r="A32" i="13"/>
  <c r="A33" i="13"/>
  <c r="A34" i="13"/>
  <c r="J37" i="13"/>
  <c r="A37" i="13"/>
  <c r="J38" i="13" s="1"/>
  <c r="A38" i="13"/>
  <c r="J39" i="13" s="1"/>
  <c r="J40" i="13"/>
  <c r="J41" i="13"/>
  <c r="A24" i="13"/>
  <c r="J25" i="13" s="1"/>
  <c r="J35" i="13" l="1"/>
  <c r="C34" i="13"/>
  <c r="J34" i="13"/>
  <c r="C33" i="13"/>
  <c r="J33" i="13"/>
  <c r="C32" i="13"/>
  <c r="J32" i="13"/>
  <c r="K32" i="13" s="1"/>
  <c r="C31" i="13"/>
  <c r="K41" i="13"/>
  <c r="C26" i="13"/>
  <c r="K26" i="13"/>
  <c r="K29" i="13"/>
  <c r="C27" i="13"/>
  <c r="K27" i="13"/>
  <c r="K30" i="13"/>
  <c r="C28" i="13"/>
  <c r="K28" i="13"/>
  <c r="C24" i="13"/>
  <c r="J24" i="13"/>
  <c r="K24" i="13" s="1"/>
  <c r="K31" i="13"/>
  <c r="K25" i="13"/>
  <c r="E27" i="15" l="1"/>
  <c r="C38" i="15"/>
  <c r="C39" i="15"/>
  <c r="C40" i="15"/>
  <c r="C41" i="15"/>
  <c r="C42" i="15"/>
  <c r="C43" i="15"/>
  <c r="C44" i="15"/>
  <c r="C45" i="15"/>
  <c r="C46" i="15"/>
  <c r="B2" i="10" l="1"/>
  <c r="B2" i="13"/>
  <c r="H46" i="3" l="1"/>
  <c r="E26" i="39" l="1"/>
  <c r="E32" i="39" s="1"/>
  <c r="Z26" i="39"/>
  <c r="Z32" i="39" s="1"/>
  <c r="H26" i="38"/>
  <c r="H32" i="38" s="1"/>
  <c r="K26" i="37"/>
  <c r="K32" i="37" s="1"/>
  <c r="W26" i="36"/>
  <c r="W32" i="36" s="1"/>
  <c r="K26" i="36"/>
  <c r="K32" i="36" s="1"/>
  <c r="W26" i="39"/>
  <c r="W32" i="39" s="1"/>
  <c r="E26" i="38"/>
  <c r="E32" i="38" s="1"/>
  <c r="H26" i="37"/>
  <c r="H32" i="37" s="1"/>
  <c r="T26" i="36"/>
  <c r="T32" i="36" s="1"/>
  <c r="K26" i="38"/>
  <c r="K32" i="38" s="1"/>
  <c r="T26" i="39"/>
  <c r="T32" i="39" s="1"/>
  <c r="Z26" i="38"/>
  <c r="Z32" i="38" s="1"/>
  <c r="E26" i="37"/>
  <c r="E32" i="37" s="1"/>
  <c r="Q26" i="36"/>
  <c r="Q32" i="36" s="1"/>
  <c r="Z26" i="36"/>
  <c r="Z32" i="36" s="1"/>
  <c r="Q26" i="39"/>
  <c r="Q32" i="39" s="1"/>
  <c r="W26" i="38"/>
  <c r="W32" i="38" s="1"/>
  <c r="Z26" i="37"/>
  <c r="Z32" i="37" s="1"/>
  <c r="N26" i="36"/>
  <c r="N32" i="36" s="1"/>
  <c r="N26" i="39"/>
  <c r="N32" i="39" s="1"/>
  <c r="T26" i="38"/>
  <c r="T32" i="38" s="1"/>
  <c r="W26" i="37"/>
  <c r="W32" i="37" s="1"/>
  <c r="K26" i="39"/>
  <c r="K32" i="39" s="1"/>
  <c r="Q26" i="38"/>
  <c r="Q32" i="38" s="1"/>
  <c r="T26" i="37"/>
  <c r="T32" i="37" s="1"/>
  <c r="H26" i="36"/>
  <c r="H32" i="36" s="1"/>
  <c r="N26" i="37"/>
  <c r="N32" i="37" s="1"/>
  <c r="H26" i="39"/>
  <c r="H32" i="39" s="1"/>
  <c r="N26" i="38"/>
  <c r="N32" i="38" s="1"/>
  <c r="Q26" i="37"/>
  <c r="Q32" i="37" s="1"/>
  <c r="E26" i="36"/>
  <c r="E32" i="36" s="1"/>
  <c r="Z12" i="39"/>
  <c r="Z23" i="39" s="1"/>
  <c r="Z12" i="38"/>
  <c r="Z23" i="38" s="1"/>
  <c r="Z12" i="37"/>
  <c r="Z23" i="37" s="1"/>
  <c r="W12" i="39"/>
  <c r="W23" i="39" s="1"/>
  <c r="W12" i="38"/>
  <c r="W23" i="38" s="1"/>
  <c r="T12" i="39"/>
  <c r="T23" i="39" s="1"/>
  <c r="T12" i="38"/>
  <c r="T23" i="38" s="1"/>
  <c r="T12" i="37"/>
  <c r="T23" i="37" s="1"/>
  <c r="Q12" i="38"/>
  <c r="Q23" i="38" s="1"/>
  <c r="Q12" i="39"/>
  <c r="Q23" i="39" s="1"/>
  <c r="Q12" i="37"/>
  <c r="Q23" i="37" s="1"/>
  <c r="N12" i="39"/>
  <c r="N23" i="39" s="1"/>
  <c r="N12" i="38"/>
  <c r="N23" i="38" s="1"/>
  <c r="N12" i="37"/>
  <c r="N23" i="37" s="1"/>
  <c r="E12" i="37"/>
  <c r="E23" i="37" s="1"/>
  <c r="K12" i="39"/>
  <c r="K23" i="39" s="1"/>
  <c r="K12" i="38"/>
  <c r="K23" i="38" s="1"/>
  <c r="K12" i="37"/>
  <c r="K23" i="37" s="1"/>
  <c r="E12" i="38"/>
  <c r="E23" i="38" s="1"/>
  <c r="H12" i="39"/>
  <c r="H23" i="39" s="1"/>
  <c r="H12" i="38"/>
  <c r="H23" i="38" s="1"/>
  <c r="H12" i="37"/>
  <c r="H23" i="37" s="1"/>
  <c r="E12" i="39"/>
  <c r="E23" i="39" s="1"/>
  <c r="W12" i="37"/>
  <c r="W23" i="37" s="1"/>
  <c r="Z12" i="36"/>
  <c r="Z23" i="36" s="1"/>
  <c r="W12" i="36"/>
  <c r="W23" i="36" s="1"/>
  <c r="T12" i="36"/>
  <c r="T23" i="36" s="1"/>
  <c r="Q12" i="36"/>
  <c r="Q23" i="36" s="1"/>
  <c r="B1" i="13"/>
  <c r="B5" i="13"/>
  <c r="B4" i="13"/>
  <c r="B8" i="13"/>
  <c r="Q34" i="39" l="1"/>
  <c r="Z34" i="39"/>
  <c r="Z55" i="39" s="1"/>
  <c r="Z62" i="39" s="1"/>
  <c r="Z66" i="39" s="1"/>
  <c r="Z69" i="39" s="1"/>
  <c r="N34" i="37"/>
  <c r="T34" i="36"/>
  <c r="T55" i="36" s="1"/>
  <c r="T62" i="36" s="1"/>
  <c r="T66" i="36" s="1"/>
  <c r="T69" i="36" s="1"/>
  <c r="T34" i="38"/>
  <c r="T55" i="38" s="1"/>
  <c r="AA32" i="39"/>
  <c r="AA26" i="39"/>
  <c r="T34" i="39"/>
  <c r="T55" i="39" s="1"/>
  <c r="AA26" i="38"/>
  <c r="AA32" i="38"/>
  <c r="Z34" i="36"/>
  <c r="Z55" i="36" s="1"/>
  <c r="N34" i="38"/>
  <c r="W34" i="38"/>
  <c r="W55" i="38" s="1"/>
  <c r="N34" i="39"/>
  <c r="W34" i="39"/>
  <c r="W55" i="39" s="1"/>
  <c r="Q34" i="36"/>
  <c r="W34" i="36"/>
  <c r="W55" i="36" s="1"/>
  <c r="Q34" i="37"/>
  <c r="Z34" i="37"/>
  <c r="Z55" i="37" s="1"/>
  <c r="AA26" i="36"/>
  <c r="AA32" i="36"/>
  <c r="Q34" i="38"/>
  <c r="Z34" i="38"/>
  <c r="Z55" i="38" s="1"/>
  <c r="AA32" i="37"/>
  <c r="AA26" i="37"/>
  <c r="W34" i="37"/>
  <c r="W55" i="37" s="1"/>
  <c r="T34" i="37"/>
  <c r="T55" i="37" s="1"/>
  <c r="E46" i="13"/>
  <c r="F46" i="13"/>
  <c r="D46" i="13"/>
  <c r="G46" i="13"/>
  <c r="H16" i="13"/>
  <c r="H17" i="13"/>
  <c r="H18" i="13"/>
  <c r="A17" i="10"/>
  <c r="A18" i="10"/>
  <c r="A19" i="10"/>
  <c r="A20" i="10"/>
  <c r="A21" i="10"/>
  <c r="A22" i="10"/>
  <c r="A23" i="10"/>
  <c r="A24" i="10"/>
  <c r="A25" i="10"/>
  <c r="A16" i="10"/>
  <c r="S30" i="10" s="1"/>
  <c r="O7" i="10"/>
  <c r="D37" i="10"/>
  <c r="O27" i="10"/>
  <c r="J13" i="13"/>
  <c r="V29" i="10" l="1"/>
  <c r="J32" i="10"/>
  <c r="G32" i="10"/>
  <c r="Y35" i="10"/>
  <c r="Y31" i="10"/>
  <c r="G34" i="10"/>
  <c r="Y29" i="10"/>
  <c r="V35" i="10"/>
  <c r="Y32" i="10"/>
  <c r="G35" i="10"/>
  <c r="P32" i="10"/>
  <c r="Y34" i="10"/>
  <c r="M31" i="10"/>
  <c r="D29" i="10"/>
  <c r="M34" i="10"/>
  <c r="S31" i="10"/>
  <c r="S35" i="10"/>
  <c r="S29" i="10"/>
  <c r="M32" i="10"/>
  <c r="P30" i="10"/>
  <c r="B29" i="10"/>
  <c r="J29" i="10"/>
  <c r="V30" i="10"/>
  <c r="J30" i="10"/>
  <c r="P34" i="10"/>
  <c r="J35" i="10"/>
  <c r="P35" i="10"/>
  <c r="Y30" i="10"/>
  <c r="M30" i="10"/>
  <c r="S34" i="10"/>
  <c r="P31" i="10"/>
  <c r="G30" i="10"/>
  <c r="G29" i="10"/>
  <c r="M35" i="10"/>
  <c r="S32" i="10"/>
  <c r="G31" i="10"/>
  <c r="M29" i="10"/>
  <c r="V31" i="10"/>
  <c r="J31" i="10"/>
  <c r="P29" i="10"/>
  <c r="J34" i="10"/>
  <c r="V32" i="10"/>
  <c r="V34" i="10"/>
  <c r="I16" i="10"/>
  <c r="F16" i="10"/>
  <c r="C16" i="10"/>
  <c r="Z59" i="39"/>
  <c r="T59" i="36"/>
  <c r="W59" i="37"/>
  <c r="W62" i="37"/>
  <c r="W66" i="37" s="1"/>
  <c r="W69" i="37" s="1"/>
  <c r="W62" i="39"/>
  <c r="W66" i="39" s="1"/>
  <c r="W69" i="39" s="1"/>
  <c r="W59" i="39"/>
  <c r="T62" i="39"/>
  <c r="T66" i="39" s="1"/>
  <c r="T69" i="39" s="1"/>
  <c r="T59" i="39"/>
  <c r="Z62" i="38"/>
  <c r="Z66" i="38" s="1"/>
  <c r="Z69" i="38" s="1"/>
  <c r="Z59" i="38"/>
  <c r="W59" i="38"/>
  <c r="W62" i="38"/>
  <c r="W66" i="38" s="1"/>
  <c r="W69" i="38" s="1"/>
  <c r="Z62" i="36"/>
  <c r="Z66" i="36" s="1"/>
  <c r="Z69" i="36" s="1"/>
  <c r="Z59" i="36"/>
  <c r="W59" i="36"/>
  <c r="W62" i="36"/>
  <c r="W66" i="36" s="1"/>
  <c r="W69" i="36" s="1"/>
  <c r="T59" i="38"/>
  <c r="T62" i="38"/>
  <c r="T66" i="38" s="1"/>
  <c r="T69" i="38" s="1"/>
  <c r="T59" i="37"/>
  <c r="T62" i="37"/>
  <c r="T66" i="37" s="1"/>
  <c r="T69" i="37" s="1"/>
  <c r="Z62" i="37"/>
  <c r="Z66" i="37" s="1"/>
  <c r="Z69" i="37" s="1"/>
  <c r="Z59" i="37"/>
  <c r="D12" i="13"/>
  <c r="H15" i="13"/>
  <c r="F27" i="10"/>
  <c r="L27" i="10"/>
  <c r="R27" i="10"/>
  <c r="U27" i="10"/>
  <c r="X27" i="10"/>
  <c r="I27" i="10"/>
  <c r="A15" i="13" l="1"/>
  <c r="C15" i="13" s="1"/>
  <c r="A6" i="10"/>
  <c r="A7" i="10"/>
  <c r="A8" i="10"/>
  <c r="A9" i="10"/>
  <c r="A10" i="10"/>
  <c r="A11" i="10"/>
  <c r="A12" i="10"/>
  <c r="A13" i="10"/>
  <c r="A14" i="10"/>
  <c r="L5" i="10"/>
  <c r="X6" i="10"/>
  <c r="X7" i="10"/>
  <c r="X8" i="10"/>
  <c r="X9" i="10"/>
  <c r="X10" i="10"/>
  <c r="X11" i="10"/>
  <c r="X12" i="10"/>
  <c r="X13" i="10"/>
  <c r="X14" i="10"/>
  <c r="X5" i="10"/>
  <c r="U6" i="10"/>
  <c r="U7" i="10"/>
  <c r="U8" i="10"/>
  <c r="U9" i="10"/>
  <c r="U10" i="10"/>
  <c r="U11" i="10"/>
  <c r="U12" i="10"/>
  <c r="U13" i="10"/>
  <c r="U14" i="10"/>
  <c r="U5" i="10"/>
  <c r="R6" i="10"/>
  <c r="R7" i="10"/>
  <c r="R8" i="10"/>
  <c r="R9" i="10"/>
  <c r="R10" i="10"/>
  <c r="R11" i="10"/>
  <c r="R12" i="10"/>
  <c r="R13" i="10"/>
  <c r="R14" i="10"/>
  <c r="R5" i="10"/>
  <c r="O6" i="10"/>
  <c r="O8" i="10"/>
  <c r="O9" i="10"/>
  <c r="O10" i="10"/>
  <c r="O11" i="10"/>
  <c r="O12" i="10"/>
  <c r="O13" i="10"/>
  <c r="O14" i="10"/>
  <c r="O5" i="10"/>
  <c r="L6" i="10"/>
  <c r="L7" i="10"/>
  <c r="L8" i="10"/>
  <c r="L9" i="10"/>
  <c r="L10" i="10"/>
  <c r="L11" i="10"/>
  <c r="L12" i="10"/>
  <c r="L13" i="10"/>
  <c r="L14" i="10"/>
  <c r="I6" i="10"/>
  <c r="I7" i="10"/>
  <c r="I8" i="10"/>
  <c r="I9" i="10"/>
  <c r="I10" i="10"/>
  <c r="I11" i="10"/>
  <c r="I12" i="10"/>
  <c r="I13" i="10"/>
  <c r="I14" i="10"/>
  <c r="F6" i="10"/>
  <c r="F7" i="10"/>
  <c r="F8" i="10"/>
  <c r="F9" i="10"/>
  <c r="F10" i="10"/>
  <c r="F11" i="10"/>
  <c r="F12" i="10"/>
  <c r="F13" i="10"/>
  <c r="F14" i="10"/>
  <c r="C6" i="10"/>
  <c r="C7" i="10"/>
  <c r="C8" i="10"/>
  <c r="C9" i="10"/>
  <c r="C10" i="10"/>
  <c r="C11" i="10"/>
  <c r="C12" i="10"/>
  <c r="C13" i="10"/>
  <c r="C14" i="10"/>
  <c r="AF20" i="15"/>
  <c r="AF19" i="15"/>
  <c r="AF18" i="15"/>
  <c r="AF17" i="15"/>
  <c r="AF16" i="15"/>
  <c r="A12" i="15"/>
  <c r="B12" i="15"/>
  <c r="C12" i="15"/>
  <c r="B7" i="15"/>
  <c r="B6" i="15"/>
  <c r="B5" i="15"/>
  <c r="B3" i="15"/>
  <c r="B2" i="15"/>
  <c r="B8" i="3"/>
  <c r="AH19" i="15" l="1"/>
  <c r="H18" i="15"/>
  <c r="H19" i="15"/>
  <c r="H31" i="15" s="1"/>
  <c r="AH16" i="15"/>
  <c r="K15" i="15" s="1"/>
  <c r="H15" i="15"/>
  <c r="AH17" i="15"/>
  <c r="H16" i="15"/>
  <c r="H28" i="15" s="1"/>
  <c r="S27" i="10"/>
  <c r="H17" i="15"/>
  <c r="H29" i="15" s="1"/>
  <c r="J15" i="13"/>
  <c r="K15" i="13" s="1"/>
  <c r="K29" i="10"/>
  <c r="N29" i="10"/>
  <c r="H29" i="10"/>
  <c r="Q29" i="10"/>
  <c r="E29" i="10"/>
  <c r="T29" i="10"/>
  <c r="W29" i="10"/>
  <c r="A18" i="13"/>
  <c r="N31" i="10"/>
  <c r="Q31" i="10"/>
  <c r="T31" i="10"/>
  <c r="W31" i="10"/>
  <c r="B31" i="10"/>
  <c r="E31" i="10"/>
  <c r="K31" i="10"/>
  <c r="H31" i="10"/>
  <c r="A19" i="13"/>
  <c r="C19" i="13" s="1"/>
  <c r="A17" i="13"/>
  <c r="AH18" i="15"/>
  <c r="AH20" i="15"/>
  <c r="K19" i="15" s="1"/>
  <c r="H30" i="15"/>
  <c r="C23" i="10"/>
  <c r="C19" i="10"/>
  <c r="U19" i="10"/>
  <c r="A20" i="13"/>
  <c r="C17" i="10"/>
  <c r="U20" i="10"/>
  <c r="X17" i="10"/>
  <c r="O20" i="10"/>
  <c r="O23" i="10"/>
  <c r="R24" i="10"/>
  <c r="I23" i="10"/>
  <c r="U23" i="10"/>
  <c r="I18" i="10"/>
  <c r="L17" i="10"/>
  <c r="U18" i="10"/>
  <c r="F20" i="10"/>
  <c r="O22" i="10"/>
  <c r="I22" i="10"/>
  <c r="X25" i="10"/>
  <c r="C21" i="10"/>
  <c r="I19" i="10"/>
  <c r="C22" i="10"/>
  <c r="R21" i="10"/>
  <c r="U22" i="10"/>
  <c r="L22" i="10"/>
  <c r="X22" i="10"/>
  <c r="L18" i="10"/>
  <c r="O17" i="10"/>
  <c r="U16" i="10"/>
  <c r="O21" i="10"/>
  <c r="O16" i="10"/>
  <c r="X21" i="10"/>
  <c r="F17" i="10"/>
  <c r="X19" i="10"/>
  <c r="C24" i="10"/>
  <c r="F25" i="10"/>
  <c r="O24" i="10"/>
  <c r="R22" i="10"/>
  <c r="U24" i="10"/>
  <c r="F22" i="10"/>
  <c r="O18" i="10"/>
  <c r="R17" i="10"/>
  <c r="L16" i="10"/>
  <c r="O19" i="10"/>
  <c r="I20" i="10"/>
  <c r="I21" i="10"/>
  <c r="L19" i="10"/>
  <c r="R23" i="10"/>
  <c r="U25" i="10"/>
  <c r="X16" i="10"/>
  <c r="L20" i="10"/>
  <c r="R20" i="10"/>
  <c r="F21" i="10"/>
  <c r="I25" i="10"/>
  <c r="I24" i="10"/>
  <c r="X23" i="10"/>
  <c r="R19" i="10"/>
  <c r="R18" i="10"/>
  <c r="U17" i="10"/>
  <c r="U21" i="10"/>
  <c r="X18" i="10"/>
  <c r="L21" i="10"/>
  <c r="C18" i="10"/>
  <c r="C20" i="10"/>
  <c r="C25" i="10"/>
  <c r="L24" i="10"/>
  <c r="L23" i="10"/>
  <c r="F24" i="10"/>
  <c r="X20" i="10"/>
  <c r="F19" i="10"/>
  <c r="O25" i="10"/>
  <c r="L25" i="10"/>
  <c r="F23" i="10"/>
  <c r="X24" i="10"/>
  <c r="R25" i="10"/>
  <c r="F18" i="10"/>
  <c r="I17" i="10"/>
  <c r="R16" i="10"/>
  <c r="A21" i="13"/>
  <c r="C21" i="13" s="1"/>
  <c r="A22" i="13"/>
  <c r="C22" i="13" s="1"/>
  <c r="A16" i="13"/>
  <c r="C16" i="13" s="1"/>
  <c r="D28" i="10"/>
  <c r="F33" i="10"/>
  <c r="X33" i="10"/>
  <c r="U33" i="10"/>
  <c r="R33" i="10"/>
  <c r="I33" i="10"/>
  <c r="O33" i="10"/>
  <c r="L33" i="10"/>
  <c r="X32" i="10"/>
  <c r="U32" i="10"/>
  <c r="R32" i="10"/>
  <c r="O32" i="10"/>
  <c r="L32" i="10"/>
  <c r="I32" i="10"/>
  <c r="F32" i="10"/>
  <c r="X31" i="10"/>
  <c r="U31" i="10"/>
  <c r="R31" i="10"/>
  <c r="O31" i="10"/>
  <c r="L31" i="10"/>
  <c r="I31" i="10"/>
  <c r="F31" i="10"/>
  <c r="U30" i="10"/>
  <c r="R30" i="10"/>
  <c r="O30" i="10"/>
  <c r="L30" i="10"/>
  <c r="I30" i="10"/>
  <c r="F30" i="10"/>
  <c r="X30" i="10"/>
  <c r="O28" i="10"/>
  <c r="I28" i="10"/>
  <c r="F28" i="10"/>
  <c r="X28" i="10"/>
  <c r="U28" i="10"/>
  <c r="R28" i="10"/>
  <c r="L28" i="10"/>
  <c r="R29" i="10"/>
  <c r="L29" i="10"/>
  <c r="I29" i="10"/>
  <c r="F29" i="10"/>
  <c r="U29" i="10"/>
  <c r="O29" i="10"/>
  <c r="X29" i="10"/>
  <c r="I34" i="10"/>
  <c r="X34" i="10"/>
  <c r="U34" i="10"/>
  <c r="L34" i="10"/>
  <c r="R34" i="10"/>
  <c r="O34" i="10"/>
  <c r="F34" i="10"/>
  <c r="L35" i="10"/>
  <c r="F35" i="10"/>
  <c r="X35" i="10"/>
  <c r="O35" i="10"/>
  <c r="I35" i="10"/>
  <c r="U35" i="10"/>
  <c r="R35" i="10"/>
  <c r="AJ16" i="15"/>
  <c r="N15" i="15" s="1"/>
  <c r="K27" i="15"/>
  <c r="AJ18" i="15" l="1"/>
  <c r="K17" i="15"/>
  <c r="AJ17" i="15"/>
  <c r="K16" i="15"/>
  <c r="K28" i="15" s="1"/>
  <c r="AJ19" i="15"/>
  <c r="K18" i="15"/>
  <c r="K30" i="15" s="1"/>
  <c r="J17" i="13"/>
  <c r="K17" i="13" s="1"/>
  <c r="C17" i="13"/>
  <c r="J18" i="13"/>
  <c r="K18" i="13" s="1"/>
  <c r="C18" i="13"/>
  <c r="H27" i="15"/>
  <c r="J22" i="13"/>
  <c r="J20" i="13"/>
  <c r="J19" i="13"/>
  <c r="J21" i="13"/>
  <c r="J16" i="13"/>
  <c r="K16" i="13" s="1"/>
  <c r="AJ20" i="15"/>
  <c r="N19" i="15" s="1"/>
  <c r="AA29" i="10"/>
  <c r="AL16" i="15"/>
  <c r="Q15" i="15" s="1"/>
  <c r="N27" i="15"/>
  <c r="AL19" i="15" l="1"/>
  <c r="N18" i="15"/>
  <c r="N30" i="15" s="1"/>
  <c r="AL17" i="15"/>
  <c r="N16" i="15"/>
  <c r="N28" i="15" s="1"/>
  <c r="AL18" i="15"/>
  <c r="N17" i="15"/>
  <c r="N29" i="15" s="1"/>
  <c r="K29" i="15"/>
  <c r="K31" i="15"/>
  <c r="AL20" i="15"/>
  <c r="Q19" i="15" s="1"/>
  <c r="N31" i="15"/>
  <c r="AN16" i="15"/>
  <c r="T15" i="15" s="1"/>
  <c r="Q27" i="15"/>
  <c r="Q16" i="15" l="1"/>
  <c r="AN17" i="15"/>
  <c r="Q17" i="15"/>
  <c r="AN18" i="15"/>
  <c r="Q30" i="15"/>
  <c r="Q18" i="15"/>
  <c r="AN19" i="15"/>
  <c r="AN20" i="15"/>
  <c r="T19" i="15" s="1"/>
  <c r="AP16" i="15"/>
  <c r="W15" i="15" s="1"/>
  <c r="Q29" i="15" l="1"/>
  <c r="AP18" i="15"/>
  <c r="T17" i="15"/>
  <c r="T29" i="15" s="1"/>
  <c r="AP17" i="15"/>
  <c r="T16" i="15"/>
  <c r="T28" i="15" s="1"/>
  <c r="AP19" i="15"/>
  <c r="T18" i="15"/>
  <c r="T30" i="15" s="1"/>
  <c r="Q28" i="15"/>
  <c r="Q31" i="15"/>
  <c r="AP20" i="15"/>
  <c r="W19" i="15" s="1"/>
  <c r="T31" i="15"/>
  <c r="AR16" i="15"/>
  <c r="Z15" i="15" s="1"/>
  <c r="AA15" i="15" s="1"/>
  <c r="T27" i="15"/>
  <c r="AR19" i="15" l="1"/>
  <c r="W18" i="15"/>
  <c r="AR17" i="15"/>
  <c r="W16" i="15"/>
  <c r="W28" i="15" s="1"/>
  <c r="AR18" i="15"/>
  <c r="W17" i="15"/>
  <c r="W29" i="15" s="1"/>
  <c r="T21" i="15"/>
  <c r="AR20" i="15"/>
  <c r="W31" i="15"/>
  <c r="Z27" i="15"/>
  <c r="W27" i="15"/>
  <c r="AA27" i="15" s="1"/>
  <c r="Z17" i="15" l="1"/>
  <c r="AA17" i="15" s="1"/>
  <c r="Z16" i="15"/>
  <c r="AA16" i="15" s="1"/>
  <c r="Z19" i="15"/>
  <c r="AA19" i="15" s="1"/>
  <c r="W30" i="15"/>
  <c r="AA18" i="15"/>
  <c r="W21" i="15"/>
  <c r="Z18" i="15"/>
  <c r="Z30" i="15" s="1"/>
  <c r="Q47" i="15"/>
  <c r="N47" i="15"/>
  <c r="K47" i="15"/>
  <c r="H47" i="15"/>
  <c r="E47" i="15"/>
  <c r="E30" i="15"/>
  <c r="E29" i="15"/>
  <c r="E28" i="15"/>
  <c r="B8" i="15"/>
  <c r="Z21" i="15" l="1"/>
  <c r="Z31" i="15"/>
  <c r="Z28" i="15"/>
  <c r="AA28" i="15"/>
  <c r="AA30" i="15"/>
  <c r="Z29" i="15"/>
  <c r="AA29" i="15" s="1"/>
  <c r="AA47" i="15"/>
  <c r="X8" i="15"/>
  <c r="U8" i="15"/>
  <c r="R8" i="15"/>
  <c r="F8" i="15"/>
  <c r="G12" i="15" s="1"/>
  <c r="B9" i="15"/>
  <c r="I8" i="15"/>
  <c r="J12" i="15" s="1"/>
  <c r="L8" i="15"/>
  <c r="M12" i="15" s="1"/>
  <c r="O8" i="15"/>
  <c r="P12" i="15" s="1"/>
  <c r="E31" i="15"/>
  <c r="AA31" i="15" s="1"/>
  <c r="C8" i="15"/>
  <c r="D12" i="15" s="1"/>
  <c r="R9" i="15" l="1"/>
  <c r="S12" i="15"/>
  <c r="U9" i="15"/>
  <c r="V12" i="15"/>
  <c r="X9" i="15"/>
  <c r="Y12" i="15"/>
  <c r="O9" i="15"/>
  <c r="Q26" i="15" s="1"/>
  <c r="C9" i="15"/>
  <c r="E26" i="15" s="1"/>
  <c r="F9" i="15"/>
  <c r="I9" i="15"/>
  <c r="K26" i="15" s="1"/>
  <c r="L9" i="15"/>
  <c r="N26" i="15" s="1"/>
  <c r="H21" i="15"/>
  <c r="K21" i="15"/>
  <c r="H26" i="15" l="1"/>
  <c r="W26" i="15"/>
  <c r="Z26" i="15"/>
  <c r="T26" i="15"/>
  <c r="N21" i="15"/>
  <c r="Q21" i="15"/>
  <c r="AA26" i="15" l="1"/>
  <c r="I23" i="3"/>
  <c r="C30" i="13"/>
  <c r="F7" i="3" l="1"/>
  <c r="G11" i="3" s="1"/>
  <c r="B5" i="10" l="1"/>
  <c r="G24" i="3"/>
  <c r="G23" i="3"/>
  <c r="G25" i="3"/>
  <c r="G31" i="3"/>
  <c r="G26" i="3"/>
  <c r="G27" i="3"/>
  <c r="G28" i="3"/>
  <c r="G29" i="3"/>
  <c r="G30" i="3"/>
  <c r="G22" i="3"/>
  <c r="F8" i="3"/>
  <c r="AG11" i="3" s="1"/>
  <c r="I7" i="3"/>
  <c r="H11" i="3" l="1"/>
  <c r="H22" i="3"/>
  <c r="AG22" i="3"/>
  <c r="K16" i="11"/>
  <c r="H49" i="3" s="1"/>
  <c r="D5" i="10"/>
  <c r="B27" i="10"/>
  <c r="J23" i="3"/>
  <c r="J22" i="3"/>
  <c r="E12" i="15"/>
  <c r="K34" i="39"/>
  <c r="H34" i="39"/>
  <c r="H34" i="38"/>
  <c r="K34" i="38"/>
  <c r="K34" i="37"/>
  <c r="H34" i="37"/>
  <c r="B16" i="10"/>
  <c r="B30" i="10"/>
  <c r="G14" i="3"/>
  <c r="AG14" i="3" s="1"/>
  <c r="AG28" i="3"/>
  <c r="G15" i="3"/>
  <c r="AG25" i="3"/>
  <c r="G13" i="3"/>
  <c r="AG29" i="3"/>
  <c r="G16" i="3"/>
  <c r="G12" i="3"/>
  <c r="AG26" i="3"/>
  <c r="AG30" i="3"/>
  <c r="G17" i="3"/>
  <c r="G20" i="3"/>
  <c r="AG31" i="3"/>
  <c r="G18" i="3"/>
  <c r="AG24" i="3"/>
  <c r="G19" i="3"/>
  <c r="I8" i="3"/>
  <c r="K23" i="3" l="1"/>
  <c r="AH22" i="3"/>
  <c r="K22" i="3"/>
  <c r="AG23" i="3"/>
  <c r="D16" i="10"/>
  <c r="D33" i="10" s="1"/>
  <c r="AA12" i="39"/>
  <c r="AA12" i="38"/>
  <c r="AA12" i="37"/>
  <c r="B21" i="10"/>
  <c r="AG27" i="3"/>
  <c r="H18" i="3"/>
  <c r="AG18" i="3"/>
  <c r="H16" i="3"/>
  <c r="AG16" i="3"/>
  <c r="H13" i="3"/>
  <c r="AG13" i="3"/>
  <c r="H12" i="3"/>
  <c r="AG12" i="3"/>
  <c r="N12" i="36" s="1"/>
  <c r="N23" i="36" s="1"/>
  <c r="N34" i="36" s="1"/>
  <c r="H17" i="3"/>
  <c r="AG17" i="3"/>
  <c r="H15" i="3"/>
  <c r="AG15" i="3"/>
  <c r="E16" i="10"/>
  <c r="H20" i="3"/>
  <c r="AG20" i="3"/>
  <c r="H19" i="3"/>
  <c r="AG19" i="3"/>
  <c r="H26" i="3"/>
  <c r="B20" i="10"/>
  <c r="H25" i="3"/>
  <c r="B19" i="10"/>
  <c r="H24" i="3"/>
  <c r="B18" i="10"/>
  <c r="H23" i="3"/>
  <c r="B17" i="10"/>
  <c r="H28" i="3"/>
  <c r="B22" i="10"/>
  <c r="H30" i="3"/>
  <c r="B24" i="10"/>
  <c r="H31" i="3"/>
  <c r="B25" i="10"/>
  <c r="H29" i="3"/>
  <c r="B23" i="10"/>
  <c r="B8" i="10"/>
  <c r="H14" i="3"/>
  <c r="D27" i="10"/>
  <c r="H27" i="3"/>
  <c r="B9" i="10"/>
  <c r="B6" i="10"/>
  <c r="B7" i="10"/>
  <c r="B28" i="10" s="1"/>
  <c r="B14" i="10"/>
  <c r="B11" i="10"/>
  <c r="B13" i="10"/>
  <c r="B12" i="10"/>
  <c r="B10" i="10"/>
  <c r="H33" i="3" l="1"/>
  <c r="B33" i="10"/>
  <c r="B32" i="10"/>
  <c r="B34" i="10"/>
  <c r="B35" i="10"/>
  <c r="E30" i="10"/>
  <c r="H12" i="36"/>
  <c r="E12" i="36"/>
  <c r="E23" i="36" s="1"/>
  <c r="K12" i="36"/>
  <c r="AA23" i="39"/>
  <c r="E34" i="39"/>
  <c r="E34" i="38"/>
  <c r="AA23" i="38"/>
  <c r="E34" i="37"/>
  <c r="AA23" i="37"/>
  <c r="D25" i="10"/>
  <c r="K23" i="36" l="1"/>
  <c r="K34" i="36" s="1"/>
  <c r="H23" i="36"/>
  <c r="H34" i="36" s="1"/>
  <c r="AA12" i="36"/>
  <c r="AA34" i="39"/>
  <c r="AA34" i="38"/>
  <c r="AA34" i="37"/>
  <c r="I52" i="13"/>
  <c r="W2" i="10"/>
  <c r="T2" i="10"/>
  <c r="Q2" i="10"/>
  <c r="S37" i="10"/>
  <c r="V37" i="10"/>
  <c r="Y37" i="10"/>
  <c r="S39" i="10"/>
  <c r="V39" i="10"/>
  <c r="Y39" i="10"/>
  <c r="K3" i="13"/>
  <c r="I88" i="13"/>
  <c r="F88" i="13"/>
  <c r="I87" i="13"/>
  <c r="F87" i="13"/>
  <c r="I86" i="13"/>
  <c r="F86" i="13"/>
  <c r="I85" i="13"/>
  <c r="F85" i="13"/>
  <c r="I84" i="13"/>
  <c r="F84" i="13"/>
  <c r="I83" i="13"/>
  <c r="F83" i="13"/>
  <c r="I82" i="13"/>
  <c r="F82" i="13"/>
  <c r="I81" i="13"/>
  <c r="F81" i="13"/>
  <c r="I80" i="13"/>
  <c r="F80" i="13"/>
  <c r="I79" i="13"/>
  <c r="F79" i="13"/>
  <c r="I78" i="13"/>
  <c r="F78" i="13"/>
  <c r="I77" i="13"/>
  <c r="I72" i="13"/>
  <c r="F72" i="13"/>
  <c r="I71" i="13"/>
  <c r="F71" i="13"/>
  <c r="I70" i="13"/>
  <c r="F70" i="13"/>
  <c r="I69" i="13"/>
  <c r="F69" i="13"/>
  <c r="I68" i="13"/>
  <c r="F68" i="13"/>
  <c r="I67" i="13"/>
  <c r="F67" i="13"/>
  <c r="I66" i="13"/>
  <c r="F66" i="13"/>
  <c r="I65" i="13"/>
  <c r="F65" i="13"/>
  <c r="I64" i="13"/>
  <c r="F64" i="13"/>
  <c r="I63" i="13"/>
  <c r="F63" i="13"/>
  <c r="I62" i="13"/>
  <c r="F62" i="13"/>
  <c r="I61" i="13"/>
  <c r="F61" i="13"/>
  <c r="I56" i="13"/>
  <c r="F56" i="13"/>
  <c r="I55" i="13"/>
  <c r="F55" i="13"/>
  <c r="I54" i="13"/>
  <c r="F54" i="13"/>
  <c r="I53" i="13"/>
  <c r="F53" i="13"/>
  <c r="F52" i="13"/>
  <c r="J52" i="13" s="1"/>
  <c r="G44" i="13"/>
  <c r="F44" i="13"/>
  <c r="E44" i="13"/>
  <c r="D44" i="13"/>
  <c r="H43" i="13"/>
  <c r="H42" i="13"/>
  <c r="H40" i="13"/>
  <c r="K40" i="13" s="1"/>
  <c r="H39" i="13"/>
  <c r="K39" i="13" s="1"/>
  <c r="H38" i="13"/>
  <c r="K38" i="13" s="1"/>
  <c r="H37" i="13"/>
  <c r="K37" i="13" s="1"/>
  <c r="H36" i="13"/>
  <c r="K36" i="13" s="1"/>
  <c r="H35" i="13"/>
  <c r="K35" i="13" s="1"/>
  <c r="H34" i="13"/>
  <c r="K34" i="13" s="1"/>
  <c r="H33" i="13"/>
  <c r="K33" i="13" s="1"/>
  <c r="H23" i="13"/>
  <c r="H22" i="13"/>
  <c r="H19" i="13"/>
  <c r="H20" i="13"/>
  <c r="H21" i="13"/>
  <c r="H14" i="13"/>
  <c r="K14" i="13" s="1"/>
  <c r="H13" i="13"/>
  <c r="G12" i="13"/>
  <c r="F12" i="13"/>
  <c r="E12" i="13"/>
  <c r="E34" i="36" l="1"/>
  <c r="AA23" i="36"/>
  <c r="H46" i="13"/>
  <c r="J62" i="13"/>
  <c r="J66" i="13"/>
  <c r="J70" i="13"/>
  <c r="J82" i="13"/>
  <c r="J86" i="13"/>
  <c r="J56" i="13"/>
  <c r="J68" i="13"/>
  <c r="J80" i="13"/>
  <c r="J88" i="13"/>
  <c r="K13" i="13"/>
  <c r="J85" i="13"/>
  <c r="J87" i="13"/>
  <c r="H12" i="13"/>
  <c r="J78" i="13"/>
  <c r="K20" i="13"/>
  <c r="J55" i="13"/>
  <c r="J67" i="13"/>
  <c r="J71" i="13"/>
  <c r="J83" i="13"/>
  <c r="J53" i="13"/>
  <c r="J61" i="13"/>
  <c r="J69" i="13"/>
  <c r="J77" i="13"/>
  <c r="J81" i="13"/>
  <c r="J65" i="13"/>
  <c r="K42" i="13"/>
  <c r="J54" i="13"/>
  <c r="J72" i="13"/>
  <c r="J79" i="13"/>
  <c r="J63" i="13"/>
  <c r="J84" i="13"/>
  <c r="K22" i="13"/>
  <c r="E47" i="13"/>
  <c r="J64" i="13"/>
  <c r="K43" i="13"/>
  <c r="D19" i="10"/>
  <c r="D30" i="10" s="1"/>
  <c r="AA30" i="10" s="1"/>
  <c r="D20" i="10"/>
  <c r="D18" i="10"/>
  <c r="D31" i="10" s="1"/>
  <c r="AA31" i="10" s="1"/>
  <c r="D17" i="10"/>
  <c r="D21" i="10"/>
  <c r="F47" i="13"/>
  <c r="G47" i="13"/>
  <c r="D47" i="13"/>
  <c r="H44" i="13"/>
  <c r="J23" i="13" l="1"/>
  <c r="K23" i="13" s="1"/>
  <c r="AA34" i="36"/>
  <c r="K19" i="13"/>
  <c r="K21" i="13"/>
  <c r="J73" i="13"/>
  <c r="J89" i="13"/>
  <c r="J57" i="13"/>
  <c r="K4" i="13"/>
  <c r="H47" i="13"/>
  <c r="K1" i="13" s="1"/>
  <c r="U22" i="3"/>
  <c r="W46" i="3"/>
  <c r="Z46" i="3"/>
  <c r="AC46" i="3"/>
  <c r="S38" i="10"/>
  <c r="S40" i="10" s="1"/>
  <c r="V38" i="10"/>
  <c r="V40" i="10" s="1"/>
  <c r="K12" i="13" l="1"/>
  <c r="K44" i="13"/>
  <c r="K46" i="13"/>
  <c r="J44" i="13"/>
  <c r="J12" i="13"/>
  <c r="J46" i="13"/>
  <c r="Y38" i="10"/>
  <c r="Y40" i="10" s="1"/>
  <c r="K47" i="13" l="1"/>
  <c r="K2" i="13" s="1"/>
  <c r="J47" i="13"/>
  <c r="I16" i="3"/>
  <c r="J16" i="3" s="1"/>
  <c r="L16" i="3"/>
  <c r="O16" i="3"/>
  <c r="R16" i="3"/>
  <c r="I17" i="3"/>
  <c r="J17" i="3" s="1"/>
  <c r="L17" i="3"/>
  <c r="O17" i="3"/>
  <c r="R17" i="3"/>
  <c r="I18" i="3"/>
  <c r="J18" i="3" s="1"/>
  <c r="L18" i="3"/>
  <c r="O18" i="3"/>
  <c r="R18" i="3"/>
  <c r="I19" i="3"/>
  <c r="J19" i="3" s="1"/>
  <c r="L19" i="3"/>
  <c r="O19" i="3"/>
  <c r="R19" i="3"/>
  <c r="I20" i="3"/>
  <c r="J20" i="3" s="1"/>
  <c r="L20" i="3"/>
  <c r="O20" i="3"/>
  <c r="R20" i="3"/>
  <c r="L22" i="3"/>
  <c r="O22" i="3"/>
  <c r="R22" i="3"/>
  <c r="L23" i="3"/>
  <c r="O23" i="3"/>
  <c r="R23" i="3"/>
  <c r="I24" i="3"/>
  <c r="J24" i="3" s="1"/>
  <c r="L24" i="3"/>
  <c r="O24" i="3"/>
  <c r="R24" i="3"/>
  <c r="I25" i="3"/>
  <c r="J25" i="3" s="1"/>
  <c r="L25" i="3"/>
  <c r="O25" i="3"/>
  <c r="R25" i="3"/>
  <c r="I26" i="3"/>
  <c r="J26" i="3" s="1"/>
  <c r="L26" i="3"/>
  <c r="O26" i="3"/>
  <c r="R26" i="3"/>
  <c r="I27" i="3"/>
  <c r="J27" i="3" s="1"/>
  <c r="L27" i="3"/>
  <c r="O27" i="3"/>
  <c r="R27" i="3"/>
  <c r="I28" i="3"/>
  <c r="J28" i="3" s="1"/>
  <c r="L28" i="3"/>
  <c r="O28" i="3"/>
  <c r="R28" i="3"/>
  <c r="I29" i="3"/>
  <c r="J29" i="3" s="1"/>
  <c r="L29" i="3"/>
  <c r="O29" i="3"/>
  <c r="R29" i="3"/>
  <c r="I30" i="3"/>
  <c r="J30" i="3" s="1"/>
  <c r="L30" i="3"/>
  <c r="O30" i="3"/>
  <c r="R30" i="3"/>
  <c r="I31" i="3"/>
  <c r="J31" i="3" s="1"/>
  <c r="L31" i="3"/>
  <c r="O31" i="3"/>
  <c r="R31" i="3"/>
  <c r="AA27" i="3" l="1"/>
  <c r="E22" i="10"/>
  <c r="AH28" i="3"/>
  <c r="E24" i="10"/>
  <c r="AH30" i="3"/>
  <c r="E25" i="10"/>
  <c r="AH31" i="3"/>
  <c r="E23" i="10"/>
  <c r="AH29" i="3"/>
  <c r="K17" i="3"/>
  <c r="AH17" i="3"/>
  <c r="E18" i="10"/>
  <c r="AH24" i="3"/>
  <c r="E20" i="10"/>
  <c r="AH26" i="3"/>
  <c r="K20" i="3"/>
  <c r="AH20" i="3"/>
  <c r="K18" i="3"/>
  <c r="AH18" i="3"/>
  <c r="K16" i="3"/>
  <c r="AH16" i="3"/>
  <c r="K19" i="3"/>
  <c r="AH19" i="3"/>
  <c r="E19" i="10"/>
  <c r="AH25" i="3"/>
  <c r="X27" i="3"/>
  <c r="K28" i="3"/>
  <c r="K24" i="3"/>
  <c r="E10" i="10"/>
  <c r="K25" i="3"/>
  <c r="K30" i="3"/>
  <c r="E12" i="10"/>
  <c r="K31" i="3"/>
  <c r="K26" i="3"/>
  <c r="E14" i="10"/>
  <c r="K29" i="3"/>
  <c r="E13" i="10"/>
  <c r="E11" i="10"/>
  <c r="U27" i="3"/>
  <c r="AA26" i="3"/>
  <c r="AA24" i="3"/>
  <c r="X26" i="3"/>
  <c r="AA25" i="3"/>
  <c r="X25" i="3"/>
  <c r="X24" i="3"/>
  <c r="U26" i="3"/>
  <c r="U25" i="3"/>
  <c r="U24" i="3"/>
  <c r="U23" i="3"/>
  <c r="X23" i="3"/>
  <c r="AA23" i="3"/>
  <c r="AA22" i="3"/>
  <c r="X22" i="3"/>
  <c r="U31" i="3"/>
  <c r="AA29" i="3"/>
  <c r="X29" i="3"/>
  <c r="U29" i="3"/>
  <c r="AA30" i="3"/>
  <c r="X30" i="3"/>
  <c r="U30" i="3"/>
  <c r="AA28" i="3"/>
  <c r="X28" i="3"/>
  <c r="AA31" i="3"/>
  <c r="X31" i="3"/>
  <c r="U28" i="3"/>
  <c r="U19" i="3"/>
  <c r="X17" i="3"/>
  <c r="U17" i="3"/>
  <c r="AA18" i="3"/>
  <c r="U16" i="3"/>
  <c r="U20" i="3"/>
  <c r="X18" i="3"/>
  <c r="AA20" i="3"/>
  <c r="X20" i="3"/>
  <c r="U18" i="3"/>
  <c r="AA16" i="3"/>
  <c r="X19" i="3"/>
  <c r="AA17" i="3"/>
  <c r="AA19" i="3"/>
  <c r="X16" i="3"/>
  <c r="E21" i="10" l="1"/>
  <c r="AH27" i="3"/>
  <c r="G19" i="10"/>
  <c r="G20" i="10"/>
  <c r="G18" i="10"/>
  <c r="K27" i="3"/>
  <c r="G21" i="10" l="1"/>
  <c r="R14" i="3"/>
  <c r="R12" i="3" l="1"/>
  <c r="R13" i="3"/>
  <c r="R15" i="3"/>
  <c r="O12" i="3"/>
  <c r="AA12" i="3" s="1"/>
  <c r="O13" i="3"/>
  <c r="AA13" i="3" s="1"/>
  <c r="O14" i="3"/>
  <c r="AA14" i="3" s="1"/>
  <c r="O15" i="3"/>
  <c r="AA15" i="3" s="1"/>
  <c r="L12" i="3"/>
  <c r="L13" i="3"/>
  <c r="L14" i="3"/>
  <c r="L15" i="3"/>
  <c r="I12" i="3"/>
  <c r="I13" i="3"/>
  <c r="I14" i="3"/>
  <c r="I15" i="3"/>
  <c r="R11" i="3"/>
  <c r="O11" i="3"/>
  <c r="L11" i="3"/>
  <c r="I11" i="3"/>
  <c r="L12" i="38" l="1"/>
  <c r="L12" i="37"/>
  <c r="L12" i="36"/>
  <c r="L12" i="39"/>
  <c r="I12" i="39"/>
  <c r="I12" i="38"/>
  <c r="I12" i="37"/>
  <c r="I12" i="36"/>
  <c r="O12" i="39"/>
  <c r="O12" i="38"/>
  <c r="O12" i="37"/>
  <c r="O12" i="36"/>
  <c r="F12" i="38"/>
  <c r="F12" i="37"/>
  <c r="F12" i="36"/>
  <c r="F12" i="39"/>
  <c r="X12" i="3"/>
  <c r="X14" i="3"/>
  <c r="X15" i="3"/>
  <c r="X13" i="3"/>
  <c r="O12" i="15"/>
  <c r="J11" i="3"/>
  <c r="F12" i="15"/>
  <c r="AA11" i="3"/>
  <c r="L12" i="15"/>
  <c r="X11" i="3"/>
  <c r="I12" i="15"/>
  <c r="U15" i="3"/>
  <c r="J15" i="3"/>
  <c r="U14" i="3"/>
  <c r="J14" i="3"/>
  <c r="U13" i="3"/>
  <c r="J13" i="3"/>
  <c r="U12" i="3"/>
  <c r="J12" i="3"/>
  <c r="U11" i="3"/>
  <c r="AH11" i="3" l="1"/>
  <c r="K11" i="3"/>
  <c r="H12" i="15"/>
  <c r="X12" i="36"/>
  <c r="X12" i="38"/>
  <c r="X12" i="39"/>
  <c r="X12" i="37"/>
  <c r="R12" i="36"/>
  <c r="R12" i="38"/>
  <c r="R12" i="39"/>
  <c r="R12" i="37"/>
  <c r="U12" i="36"/>
  <c r="U12" i="38"/>
  <c r="U12" i="39"/>
  <c r="U12" i="37"/>
  <c r="K12" i="3"/>
  <c r="AH12" i="3"/>
  <c r="K14" i="3"/>
  <c r="AH14" i="3"/>
  <c r="K13" i="3"/>
  <c r="AH13" i="3"/>
  <c r="K15" i="3"/>
  <c r="AH15" i="3"/>
  <c r="E5" i="10"/>
  <c r="E6" i="10"/>
  <c r="E7" i="10"/>
  <c r="E28" i="10" s="1"/>
  <c r="E8" i="10"/>
  <c r="E9" i="10"/>
  <c r="U12" i="15"/>
  <c r="X12" i="15"/>
  <c r="R12" i="15"/>
  <c r="O49" i="10"/>
  <c r="L49" i="10"/>
  <c r="I49" i="10"/>
  <c r="F49" i="10"/>
  <c r="C49" i="10"/>
  <c r="P39" i="10"/>
  <c r="M39" i="10"/>
  <c r="J39" i="10"/>
  <c r="P37" i="10"/>
  <c r="M37" i="10"/>
  <c r="J37" i="10"/>
  <c r="G39" i="10"/>
  <c r="G37" i="10"/>
  <c r="D39" i="10"/>
  <c r="G5" i="10" l="1"/>
  <c r="H23" i="15"/>
  <c r="H32" i="15"/>
  <c r="E27" i="10"/>
  <c r="D38" i="10" l="1"/>
  <c r="D40" i="10" s="1"/>
  <c r="E50" i="39"/>
  <c r="E50" i="37"/>
  <c r="E50" i="38"/>
  <c r="E50" i="36"/>
  <c r="E50" i="15"/>
  <c r="K50" i="38"/>
  <c r="K53" i="38" s="1"/>
  <c r="K55" i="38" s="1"/>
  <c r="K50" i="36"/>
  <c r="K53" i="36" s="1"/>
  <c r="K55" i="36" s="1"/>
  <c r="K50" i="15"/>
  <c r="K53" i="15" s="1"/>
  <c r="K50" i="37"/>
  <c r="K53" i="37" s="1"/>
  <c r="K55" i="37" s="1"/>
  <c r="K50" i="39"/>
  <c r="K53" i="39" s="1"/>
  <c r="K55" i="39" s="1"/>
  <c r="H34" i="15"/>
  <c r="E32" i="15"/>
  <c r="K59" i="36" l="1"/>
  <c r="K62" i="36"/>
  <c r="K66" i="36" s="1"/>
  <c r="K69" i="36" s="1"/>
  <c r="E53" i="36"/>
  <c r="K62" i="38"/>
  <c r="K66" i="38" s="1"/>
  <c r="K69" i="38" s="1"/>
  <c r="K59" i="38"/>
  <c r="E53" i="37"/>
  <c r="E53" i="38"/>
  <c r="K62" i="37"/>
  <c r="K66" i="37" s="1"/>
  <c r="K69" i="37" s="1"/>
  <c r="K59" i="37"/>
  <c r="E53" i="39"/>
  <c r="K62" i="39"/>
  <c r="K66" i="39" s="1"/>
  <c r="K69" i="39" s="1"/>
  <c r="K59" i="39"/>
  <c r="H50" i="39"/>
  <c r="H53" i="39" s="1"/>
  <c r="H55" i="39" s="1"/>
  <c r="H50" i="37"/>
  <c r="H53" i="37" s="1"/>
  <c r="H55" i="37" s="1"/>
  <c r="H50" i="38"/>
  <c r="H53" i="38" s="1"/>
  <c r="H55" i="38" s="1"/>
  <c r="H50" i="36"/>
  <c r="H53" i="36" s="1"/>
  <c r="H55" i="36" s="1"/>
  <c r="H50" i="15"/>
  <c r="H53" i="15" s="1"/>
  <c r="H55" i="15" s="1"/>
  <c r="E53" i="15"/>
  <c r="E55" i="37" l="1"/>
  <c r="E55" i="39"/>
  <c r="E55" i="36"/>
  <c r="H62" i="36"/>
  <c r="H66" i="36" s="1"/>
  <c r="H69" i="36" s="1"/>
  <c r="H59" i="36"/>
  <c r="H62" i="37"/>
  <c r="H66" i="37" s="1"/>
  <c r="H69" i="37" s="1"/>
  <c r="H59" i="37"/>
  <c r="E55" i="38"/>
  <c r="H62" i="38"/>
  <c r="H66" i="38" s="1"/>
  <c r="H69" i="38" s="1"/>
  <c r="H59" i="38"/>
  <c r="N50" i="37"/>
  <c r="N50" i="36"/>
  <c r="N53" i="36" s="1"/>
  <c r="N55" i="36" s="1"/>
  <c r="N50" i="15"/>
  <c r="N53" i="15" s="1"/>
  <c r="N50" i="38"/>
  <c r="N53" i="38" s="1"/>
  <c r="N55" i="38" s="1"/>
  <c r="N50" i="39"/>
  <c r="H59" i="39"/>
  <c r="H62" i="39"/>
  <c r="H66" i="39" s="1"/>
  <c r="H69" i="39" s="1"/>
  <c r="H59" i="15"/>
  <c r="H62" i="15"/>
  <c r="H66" i="15" s="1"/>
  <c r="H69" i="15" s="1"/>
  <c r="E62" i="38" l="1"/>
  <c r="E59" i="38"/>
  <c r="Q50" i="38"/>
  <c r="Q50" i="15"/>
  <c r="Q53" i="15" s="1"/>
  <c r="AA53" i="15" s="1"/>
  <c r="Q50" i="36"/>
  <c r="Q50" i="39"/>
  <c r="Q53" i="39" s="1"/>
  <c r="Q55" i="39" s="1"/>
  <c r="Q50" i="37"/>
  <c r="Q53" i="37" s="1"/>
  <c r="Q55" i="37" s="1"/>
  <c r="N53" i="39"/>
  <c r="E62" i="36"/>
  <c r="E59" i="36"/>
  <c r="N62" i="36"/>
  <c r="N66" i="36" s="1"/>
  <c r="N69" i="36" s="1"/>
  <c r="N59" i="36"/>
  <c r="E59" i="37"/>
  <c r="E62" i="37"/>
  <c r="N59" i="38"/>
  <c r="N62" i="38"/>
  <c r="N66" i="38" s="1"/>
  <c r="N69" i="38" s="1"/>
  <c r="E62" i="39"/>
  <c r="E59" i="39"/>
  <c r="N53" i="37"/>
  <c r="AA50" i="37" l="1"/>
  <c r="Q53" i="36"/>
  <c r="AA50" i="36"/>
  <c r="Q53" i="38"/>
  <c r="AA50" i="38"/>
  <c r="E66" i="36"/>
  <c r="AA50" i="39"/>
  <c r="Q59" i="39"/>
  <c r="Q62" i="39"/>
  <c r="Q66" i="39" s="1"/>
  <c r="Q69" i="39" s="1"/>
  <c r="N55" i="37"/>
  <c r="AA53" i="37"/>
  <c r="E66" i="37"/>
  <c r="N55" i="39"/>
  <c r="AA53" i="39"/>
  <c r="E66" i="39"/>
  <c r="Q59" i="37"/>
  <c r="Q62" i="37"/>
  <c r="Q66" i="37" s="1"/>
  <c r="Q69" i="37" s="1"/>
  <c r="E66" i="38"/>
  <c r="AA50" i="15"/>
  <c r="E69" i="36" l="1"/>
  <c r="E69" i="37"/>
  <c r="E69" i="39"/>
  <c r="Q55" i="38"/>
  <c r="AA53" i="38"/>
  <c r="N62" i="37"/>
  <c r="N59" i="37"/>
  <c r="AA59" i="37" s="1"/>
  <c r="AA55" i="37"/>
  <c r="E69" i="38"/>
  <c r="N62" i="39"/>
  <c r="N59" i="39"/>
  <c r="AA59" i="39" s="1"/>
  <c r="AA55" i="39"/>
  <c r="Q55" i="36"/>
  <c r="AA53" i="36"/>
  <c r="L7" i="3"/>
  <c r="AA7" i="3"/>
  <c r="U7" i="3"/>
  <c r="X7" i="3"/>
  <c r="Y11" i="3" s="1"/>
  <c r="O7" i="3"/>
  <c r="R7" i="3"/>
  <c r="S11" i="3" l="1"/>
  <c r="N5" i="10" s="1"/>
  <c r="S24" i="3"/>
  <c r="S23" i="3"/>
  <c r="S25" i="3"/>
  <c r="S26" i="3"/>
  <c r="S28" i="3"/>
  <c r="S31" i="3"/>
  <c r="S27" i="3"/>
  <c r="S30" i="3"/>
  <c r="S29" i="3"/>
  <c r="M24" i="3"/>
  <c r="M26" i="3"/>
  <c r="M23" i="3"/>
  <c r="M25" i="3"/>
  <c r="M31" i="3"/>
  <c r="M28" i="3"/>
  <c r="M29" i="3"/>
  <c r="M27" i="3"/>
  <c r="M30" i="3"/>
  <c r="P23" i="3"/>
  <c r="P26" i="3"/>
  <c r="P24" i="3"/>
  <c r="P25" i="3"/>
  <c r="P30" i="3"/>
  <c r="P28" i="3"/>
  <c r="P31" i="3"/>
  <c r="P29" i="3"/>
  <c r="P27" i="3"/>
  <c r="N66" i="39"/>
  <c r="AA62" i="39"/>
  <c r="Q62" i="38"/>
  <c r="Q59" i="38"/>
  <c r="AA59" i="38" s="1"/>
  <c r="AA55" i="38"/>
  <c r="Q59" i="36"/>
  <c r="AA59" i="36" s="1"/>
  <c r="Q62" i="36"/>
  <c r="AA55" i="36"/>
  <c r="N66" i="37"/>
  <c r="AA62" i="37"/>
  <c r="U8" i="3"/>
  <c r="V22" i="3"/>
  <c r="Q16" i="10" s="1"/>
  <c r="V23" i="3"/>
  <c r="V28" i="3"/>
  <c r="V16" i="3"/>
  <c r="V31" i="3"/>
  <c r="V30" i="3"/>
  <c r="V26" i="3"/>
  <c r="V19" i="3"/>
  <c r="V25" i="3"/>
  <c r="V29" i="3"/>
  <c r="V17" i="3"/>
  <c r="V24" i="3"/>
  <c r="V20" i="3"/>
  <c r="V18" i="3"/>
  <c r="V27" i="3"/>
  <c r="V11" i="3"/>
  <c r="V14" i="3"/>
  <c r="V15" i="3"/>
  <c r="V12" i="3"/>
  <c r="V13" i="3"/>
  <c r="X8" i="3"/>
  <c r="Y20" i="3"/>
  <c r="Y16" i="3"/>
  <c r="Y22" i="3"/>
  <c r="Y30" i="3"/>
  <c r="Y29" i="3"/>
  <c r="Y23" i="3"/>
  <c r="Y18" i="3"/>
  <c r="Y25" i="3"/>
  <c r="Y28" i="3"/>
  <c r="Y26" i="3"/>
  <c r="Y31" i="3"/>
  <c r="Y24" i="3"/>
  <c r="Y17" i="3"/>
  <c r="Y27" i="3"/>
  <c r="Y19" i="3"/>
  <c r="Y15" i="3"/>
  <c r="Y13" i="3"/>
  <c r="Y14" i="3"/>
  <c r="Y12" i="3"/>
  <c r="AA8" i="3"/>
  <c r="AB27" i="3"/>
  <c r="AB29" i="3"/>
  <c r="AB23" i="3"/>
  <c r="AB25" i="3"/>
  <c r="AB26" i="3"/>
  <c r="AB17" i="3"/>
  <c r="AB16" i="3"/>
  <c r="AB31" i="3"/>
  <c r="AB18" i="3"/>
  <c r="AB30" i="3"/>
  <c r="AB20" i="3"/>
  <c r="AB24" i="3"/>
  <c r="AB28" i="3"/>
  <c r="AB22" i="3"/>
  <c r="W16" i="10" s="1"/>
  <c r="AB19" i="3"/>
  <c r="AB14" i="3"/>
  <c r="AC14" i="3" s="1"/>
  <c r="AB12" i="3"/>
  <c r="AB15" i="3"/>
  <c r="AB13" i="3"/>
  <c r="AB11" i="3"/>
  <c r="R8" i="3"/>
  <c r="S19" i="3"/>
  <c r="S12" i="3"/>
  <c r="S20" i="3"/>
  <c r="S13" i="3"/>
  <c r="S14" i="3"/>
  <c r="S22" i="3"/>
  <c r="S17" i="3"/>
  <c r="S18" i="3"/>
  <c r="S15" i="3"/>
  <c r="S16" i="3"/>
  <c r="O8" i="3"/>
  <c r="P15" i="3"/>
  <c r="P16" i="3"/>
  <c r="P17" i="3"/>
  <c r="P22" i="3"/>
  <c r="Q16" i="11" s="1"/>
  <c r="P18" i="3"/>
  <c r="P11" i="3"/>
  <c r="P19" i="3"/>
  <c r="P14" i="3"/>
  <c r="P12" i="3"/>
  <c r="P20" i="3"/>
  <c r="P13" i="3"/>
  <c r="O16" i="11"/>
  <c r="M18" i="3"/>
  <c r="M11" i="3"/>
  <c r="M19" i="3"/>
  <c r="M12" i="3"/>
  <c r="M20" i="3"/>
  <c r="M13" i="3"/>
  <c r="M14" i="3"/>
  <c r="M16" i="3"/>
  <c r="M15" i="3"/>
  <c r="M17" i="3"/>
  <c r="L8" i="3"/>
  <c r="S16" i="11"/>
  <c r="M22" i="3"/>
  <c r="D12" i="10"/>
  <c r="D14" i="10"/>
  <c r="D10" i="10"/>
  <c r="D13" i="10"/>
  <c r="D11" i="10"/>
  <c r="N12" i="3" l="1"/>
  <c r="N23" i="3"/>
  <c r="N22" i="3"/>
  <c r="AI22" i="3"/>
  <c r="AI11" i="3"/>
  <c r="N11" i="3"/>
  <c r="AK15" i="3"/>
  <c r="W16" i="11"/>
  <c r="Y16" i="11"/>
  <c r="U16" i="11"/>
  <c r="M16" i="11"/>
  <c r="K49" i="3" s="1"/>
  <c r="G38" i="10" s="1"/>
  <c r="T49" i="3"/>
  <c r="P38" i="10" s="1"/>
  <c r="AK17" i="3"/>
  <c r="AK20" i="3"/>
  <c r="AC11" i="3"/>
  <c r="AI19" i="3"/>
  <c r="AJ20" i="3"/>
  <c r="AJ18" i="3"/>
  <c r="AC15" i="3"/>
  <c r="AC13" i="3"/>
  <c r="AC20" i="3"/>
  <c r="AC24" i="3"/>
  <c r="AC25" i="3"/>
  <c r="K12" i="15"/>
  <c r="AK12" i="3"/>
  <c r="N49" i="3"/>
  <c r="J38" i="10" s="1"/>
  <c r="AJ23" i="3"/>
  <c r="Q49" i="3"/>
  <c r="M38" i="10" s="1"/>
  <c r="AC23" i="3"/>
  <c r="AC12" i="3"/>
  <c r="AC26" i="3"/>
  <c r="W30" i="10"/>
  <c r="Q30" i="10"/>
  <c r="Z28" i="3"/>
  <c r="Q66" i="38"/>
  <c r="AA62" i="38"/>
  <c r="N69" i="37"/>
  <c r="AA69" i="37" s="1"/>
  <c r="AA66" i="37"/>
  <c r="N69" i="39"/>
  <c r="AA69" i="39" s="1"/>
  <c r="AA66" i="39"/>
  <c r="Q66" i="36"/>
  <c r="AA62" i="36"/>
  <c r="Z11" i="3"/>
  <c r="Z26" i="3"/>
  <c r="Z16" i="3"/>
  <c r="Z19" i="3"/>
  <c r="Z18" i="3"/>
  <c r="AI17" i="3"/>
  <c r="AI13" i="3"/>
  <c r="AI18" i="3"/>
  <c r="AC18" i="3"/>
  <c r="AC27" i="3"/>
  <c r="Z27" i="3"/>
  <c r="Z23" i="3"/>
  <c r="Z17" i="3"/>
  <c r="Z29" i="3"/>
  <c r="AK28" i="3"/>
  <c r="AC19" i="3"/>
  <c r="AC16" i="3"/>
  <c r="Z12" i="3"/>
  <c r="Z30" i="3"/>
  <c r="AI16" i="3"/>
  <c r="AI12" i="3"/>
  <c r="AK18" i="3"/>
  <c r="AK26" i="3"/>
  <c r="AC22" i="3"/>
  <c r="AC17" i="3"/>
  <c r="Z14" i="3"/>
  <c r="Z31" i="3"/>
  <c r="W22" i="10"/>
  <c r="AC28" i="3"/>
  <c r="AL27" i="3"/>
  <c r="W27" i="3"/>
  <c r="AL26" i="3"/>
  <c r="W26" i="3"/>
  <c r="AL30" i="3"/>
  <c r="W30" i="3"/>
  <c r="AM25" i="3"/>
  <c r="Z25" i="3"/>
  <c r="AL31" i="3"/>
  <c r="W31" i="3"/>
  <c r="W24" i="10"/>
  <c r="AC30" i="3"/>
  <c r="W23" i="10"/>
  <c r="AC29" i="3"/>
  <c r="AL24" i="3"/>
  <c r="W24" i="3"/>
  <c r="AL28" i="3"/>
  <c r="W28" i="3"/>
  <c r="W25" i="10"/>
  <c r="AC31" i="3"/>
  <c r="AL29" i="3"/>
  <c r="W29" i="3"/>
  <c r="AL23" i="3"/>
  <c r="W23" i="3"/>
  <c r="AL25" i="3"/>
  <c r="W25" i="3"/>
  <c r="AL22" i="3"/>
  <c r="W22" i="3"/>
  <c r="T18" i="10"/>
  <c r="V18" i="10" s="1"/>
  <c r="Z24" i="3"/>
  <c r="T16" i="10"/>
  <c r="Z22" i="3"/>
  <c r="AM13" i="3"/>
  <c r="Z13" i="3"/>
  <c r="AM20" i="3"/>
  <c r="Z20" i="3"/>
  <c r="AL18" i="3"/>
  <c r="W18" i="3"/>
  <c r="AM15" i="3"/>
  <c r="Z15" i="3"/>
  <c r="AL20" i="3"/>
  <c r="W20" i="3"/>
  <c r="AL13" i="3"/>
  <c r="W13" i="3"/>
  <c r="AL16" i="3"/>
  <c r="W16" i="3"/>
  <c r="AL12" i="3"/>
  <c r="W12" i="3"/>
  <c r="AL17" i="3"/>
  <c r="W17" i="3"/>
  <c r="AL15" i="3"/>
  <c r="W15" i="3"/>
  <c r="AL14" i="3"/>
  <c r="W14" i="3"/>
  <c r="AL11" i="3"/>
  <c r="T12" i="15" s="1"/>
  <c r="W11" i="3"/>
  <c r="AL19" i="3"/>
  <c r="W19" i="3"/>
  <c r="AM27" i="3"/>
  <c r="AI15" i="3"/>
  <c r="AJ26" i="3"/>
  <c r="AJ14" i="3"/>
  <c r="AJ17" i="3"/>
  <c r="AI20" i="3"/>
  <c r="AJ27" i="3"/>
  <c r="AJ11" i="3"/>
  <c r="N12" i="15" s="1"/>
  <c r="Q11" i="3"/>
  <c r="AI14" i="3"/>
  <c r="AJ13" i="3"/>
  <c r="AJ24" i="3"/>
  <c r="AJ15" i="3"/>
  <c r="AK11" i="3"/>
  <c r="Q12" i="15" s="1"/>
  <c r="AM11" i="3"/>
  <c r="W12" i="15" s="1"/>
  <c r="AM26" i="3"/>
  <c r="AM16" i="3"/>
  <c r="H24" i="10"/>
  <c r="AI30" i="3"/>
  <c r="N21" i="10"/>
  <c r="P21" i="10" s="1"/>
  <c r="AK27" i="3"/>
  <c r="T22" i="10"/>
  <c r="AM28" i="3"/>
  <c r="N25" i="10"/>
  <c r="AK31" i="3"/>
  <c r="H22" i="10"/>
  <c r="AI28" i="3"/>
  <c r="K25" i="10"/>
  <c r="AJ31" i="3"/>
  <c r="H23" i="10"/>
  <c r="AI29" i="3"/>
  <c r="N23" i="10"/>
  <c r="AK29" i="3"/>
  <c r="H25" i="10"/>
  <c r="AI31" i="3"/>
  <c r="K24" i="10"/>
  <c r="AJ30" i="3"/>
  <c r="N24" i="10"/>
  <c r="AK30" i="3"/>
  <c r="T23" i="10"/>
  <c r="AM29" i="3"/>
  <c r="T24" i="10"/>
  <c r="AM30" i="3"/>
  <c r="K23" i="10"/>
  <c r="AJ29" i="3"/>
  <c r="H21" i="10"/>
  <c r="J21" i="10" s="1"/>
  <c r="AI27" i="3"/>
  <c r="K22" i="10"/>
  <c r="AJ28" i="3"/>
  <c r="T25" i="10"/>
  <c r="AM31" i="3"/>
  <c r="H19" i="10"/>
  <c r="J19" i="10" s="1"/>
  <c r="AI25" i="3"/>
  <c r="H16" i="10"/>
  <c r="N17" i="10"/>
  <c r="P17" i="10" s="1"/>
  <c r="AK23" i="3"/>
  <c r="E17" i="10"/>
  <c r="AH23" i="3"/>
  <c r="N16" i="10"/>
  <c r="AK22" i="3"/>
  <c r="Q12" i="3"/>
  <c r="AJ12" i="3"/>
  <c r="AK14" i="3"/>
  <c r="N19" i="10"/>
  <c r="P19" i="10" s="1"/>
  <c r="AK25" i="3"/>
  <c r="AM19" i="3"/>
  <c r="AM18" i="3"/>
  <c r="H18" i="10"/>
  <c r="J18" i="10" s="1"/>
  <c r="AI24" i="3"/>
  <c r="AJ25" i="3"/>
  <c r="K16" i="10"/>
  <c r="AJ22" i="3"/>
  <c r="AK16" i="3"/>
  <c r="AK19" i="3"/>
  <c r="AM17" i="3"/>
  <c r="T11" i="3"/>
  <c r="Q32" i="15" s="1"/>
  <c r="AM12" i="3"/>
  <c r="AM24" i="3"/>
  <c r="N18" i="10"/>
  <c r="P18" i="10" s="1"/>
  <c r="AK24" i="3"/>
  <c r="H20" i="10"/>
  <c r="J20" i="10" s="1"/>
  <c r="AI26" i="3"/>
  <c r="AI23" i="3"/>
  <c r="AJ19" i="3"/>
  <c r="AJ16" i="3"/>
  <c r="N7" i="10"/>
  <c r="AK13" i="3"/>
  <c r="T19" i="10"/>
  <c r="V19" i="10" s="1"/>
  <c r="AM14" i="3"/>
  <c r="AM22" i="3"/>
  <c r="T32" i="15"/>
  <c r="K9" i="10"/>
  <c r="Q15" i="3"/>
  <c r="T26" i="3"/>
  <c r="N20" i="10"/>
  <c r="P20" i="10" s="1"/>
  <c r="H9" i="10"/>
  <c r="N15" i="3"/>
  <c r="K20" i="10"/>
  <c r="M20" i="10" s="1"/>
  <c r="N9" i="10"/>
  <c r="T15" i="3"/>
  <c r="K19" i="10"/>
  <c r="M19" i="10" s="1"/>
  <c r="K18" i="10"/>
  <c r="M18" i="10" s="1"/>
  <c r="K17" i="10"/>
  <c r="M17" i="10" s="1"/>
  <c r="H17" i="10"/>
  <c r="J17" i="10" s="1"/>
  <c r="W19" i="10"/>
  <c r="Y19" i="10" s="1"/>
  <c r="Q24" i="10"/>
  <c r="W17" i="10"/>
  <c r="Y17" i="10" s="1"/>
  <c r="W18" i="10"/>
  <c r="Y18" i="10" s="1"/>
  <c r="T17" i="10"/>
  <c r="V17" i="10" s="1"/>
  <c r="T20" i="10"/>
  <c r="V20" i="10" s="1"/>
  <c r="W20" i="10"/>
  <c r="Y20" i="10" s="1"/>
  <c r="Q18" i="10"/>
  <c r="S18" i="10" s="1"/>
  <c r="Q19" i="10"/>
  <c r="S19" i="10" s="1"/>
  <c r="W21" i="10"/>
  <c r="Y21" i="10" s="1"/>
  <c r="Q21" i="10"/>
  <c r="S21" i="10" s="1"/>
  <c r="Q17" i="10"/>
  <c r="S17" i="10" s="1"/>
  <c r="T21" i="10"/>
  <c r="V21" i="10" s="1"/>
  <c r="Q23" i="10"/>
  <c r="Q25" i="10"/>
  <c r="Q20" i="10"/>
  <c r="S20" i="10" s="1"/>
  <c r="T28" i="3"/>
  <c r="N22" i="10"/>
  <c r="K21" i="10"/>
  <c r="M21" i="10" s="1"/>
  <c r="Q22" i="10"/>
  <c r="T25" i="3"/>
  <c r="T24" i="3"/>
  <c r="T23" i="3"/>
  <c r="T22" i="3"/>
  <c r="K8" i="10"/>
  <c r="Q14" i="3"/>
  <c r="H8" i="10"/>
  <c r="N14" i="3"/>
  <c r="N8" i="10"/>
  <c r="T14" i="3"/>
  <c r="K7" i="10"/>
  <c r="Q13" i="3"/>
  <c r="H7" i="10"/>
  <c r="H28" i="10" s="1"/>
  <c r="N13" i="3"/>
  <c r="N28" i="10"/>
  <c r="T13" i="3"/>
  <c r="N6" i="10"/>
  <c r="N27" i="10" s="1"/>
  <c r="T12" i="3"/>
  <c r="H6" i="10"/>
  <c r="H5" i="10"/>
  <c r="K5" i="10"/>
  <c r="T27" i="3"/>
  <c r="T31" i="3"/>
  <c r="T29" i="3"/>
  <c r="T30" i="3"/>
  <c r="H14" i="10"/>
  <c r="N20" i="3"/>
  <c r="K13" i="10"/>
  <c r="Q19" i="3"/>
  <c r="K10" i="10"/>
  <c r="Q16" i="3"/>
  <c r="W7" i="10"/>
  <c r="N11" i="10"/>
  <c r="T17" i="3"/>
  <c r="N14" i="10"/>
  <c r="T20" i="3"/>
  <c r="H13" i="10"/>
  <c r="N19" i="3"/>
  <c r="K12" i="10"/>
  <c r="Q18" i="3"/>
  <c r="W6" i="10"/>
  <c r="W13" i="10"/>
  <c r="Q7" i="10"/>
  <c r="H10" i="10"/>
  <c r="N16" i="3"/>
  <c r="N12" i="10"/>
  <c r="T18" i="3"/>
  <c r="K14" i="10"/>
  <c r="Q20" i="3"/>
  <c r="N10" i="10"/>
  <c r="T16" i="3"/>
  <c r="N13" i="10"/>
  <c r="T19" i="3"/>
  <c r="W9" i="10"/>
  <c r="W12" i="10"/>
  <c r="Q11" i="10"/>
  <c r="Q14" i="10"/>
  <c r="T12" i="10"/>
  <c r="H11" i="10"/>
  <c r="N17" i="3"/>
  <c r="H12" i="10"/>
  <c r="N18" i="3"/>
  <c r="K11" i="10"/>
  <c r="Q17" i="3"/>
  <c r="W5" i="10"/>
  <c r="W14" i="10"/>
  <c r="W10" i="10"/>
  <c r="W8" i="10"/>
  <c r="W11" i="10"/>
  <c r="T5" i="10"/>
  <c r="Q6" i="10"/>
  <c r="T13" i="10"/>
  <c r="K6" i="10"/>
  <c r="Q31" i="3"/>
  <c r="Q9" i="10"/>
  <c r="Q8" i="10"/>
  <c r="T10" i="10"/>
  <c r="T9" i="10"/>
  <c r="T14" i="10"/>
  <c r="Q10" i="10"/>
  <c r="T8" i="10"/>
  <c r="T6" i="10"/>
  <c r="Q12" i="10"/>
  <c r="T7" i="10"/>
  <c r="T28" i="10" s="1"/>
  <c r="T11" i="10"/>
  <c r="Q13" i="10"/>
  <c r="Q5" i="10"/>
  <c r="N26" i="3"/>
  <c r="Q28" i="3"/>
  <c r="Q25" i="3"/>
  <c r="Q26" i="3"/>
  <c r="Q30" i="3"/>
  <c r="Q22" i="3"/>
  <c r="Q27" i="3"/>
  <c r="Q29" i="3"/>
  <c r="Q23" i="3"/>
  <c r="Q24" i="3"/>
  <c r="AN23" i="3"/>
  <c r="N25" i="3"/>
  <c r="N24" i="3"/>
  <c r="N29" i="3"/>
  <c r="AN29" i="3" s="1"/>
  <c r="N30" i="3"/>
  <c r="AN30" i="3" s="1"/>
  <c r="N31" i="3"/>
  <c r="AN31" i="3" s="1"/>
  <c r="N27" i="3"/>
  <c r="AN27" i="3" s="1"/>
  <c r="N28" i="3"/>
  <c r="AN28" i="3" s="1"/>
  <c r="G11" i="10"/>
  <c r="G13" i="10"/>
  <c r="G12" i="10"/>
  <c r="G10" i="10"/>
  <c r="G14" i="10"/>
  <c r="Z5" i="10" l="1"/>
  <c r="J5" i="10"/>
  <c r="AD49" i="3"/>
  <c r="E33" i="10"/>
  <c r="E34" i="10"/>
  <c r="E32" i="10"/>
  <c r="E35" i="10"/>
  <c r="W34" i="10"/>
  <c r="K34" i="10"/>
  <c r="K33" i="10"/>
  <c r="K35" i="10"/>
  <c r="Q32" i="10"/>
  <c r="W35" i="10"/>
  <c r="W33" i="10"/>
  <c r="H35" i="10"/>
  <c r="H34" i="10"/>
  <c r="H33" i="10"/>
  <c r="W32" i="10"/>
  <c r="Q34" i="10"/>
  <c r="T33" i="10"/>
  <c r="T35" i="10"/>
  <c r="T34" i="10"/>
  <c r="Q35" i="10"/>
  <c r="N35" i="10"/>
  <c r="N34" i="10"/>
  <c r="N33" i="10"/>
  <c r="Q33" i="10"/>
  <c r="N30" i="10"/>
  <c r="N32" i="10"/>
  <c r="K30" i="10"/>
  <c r="K32" i="10"/>
  <c r="H30" i="10"/>
  <c r="H32" i="10"/>
  <c r="T30" i="10"/>
  <c r="T32" i="10"/>
  <c r="AD23" i="3"/>
  <c r="AD11" i="3"/>
  <c r="C13" i="13" s="1"/>
  <c r="Q69" i="36"/>
  <c r="AA69" i="36" s="1"/>
  <c r="AA66" i="36"/>
  <c r="Q69" i="38"/>
  <c r="AA69" i="38" s="1"/>
  <c r="AA66" i="38"/>
  <c r="AO30" i="3"/>
  <c r="AO27" i="3"/>
  <c r="AO28" i="3"/>
  <c r="AO31" i="3"/>
  <c r="AO29" i="3"/>
  <c r="W27" i="10"/>
  <c r="AN11" i="3"/>
  <c r="AN13" i="3"/>
  <c r="AO13" i="3" s="1"/>
  <c r="AN14" i="3"/>
  <c r="AO14" i="3" s="1"/>
  <c r="AN24" i="3"/>
  <c r="AO24" i="3" s="1"/>
  <c r="AM23" i="3"/>
  <c r="AO23" i="3" s="1"/>
  <c r="AN17" i="3"/>
  <c r="AO17" i="3" s="1"/>
  <c r="AN26" i="3"/>
  <c r="AO26" i="3" s="1"/>
  <c r="AN15" i="3"/>
  <c r="AO15" i="3" s="1"/>
  <c r="AN22" i="3"/>
  <c r="AO22" i="3" s="1"/>
  <c r="AN12" i="3"/>
  <c r="AO12" i="3" s="1"/>
  <c r="AN20" i="3"/>
  <c r="AO20" i="3" s="1"/>
  <c r="AN19" i="3"/>
  <c r="AO19" i="3" s="1"/>
  <c r="AN25" i="3"/>
  <c r="AO25" i="3" s="1"/>
  <c r="AN16" i="3"/>
  <c r="AO16" i="3" s="1"/>
  <c r="AN18" i="3"/>
  <c r="AO18" i="3" s="1"/>
  <c r="T23" i="15"/>
  <c r="T34" i="15" s="1"/>
  <c r="T55" i="15" s="1"/>
  <c r="Q23" i="15"/>
  <c r="Q34" i="15" s="1"/>
  <c r="Q55" i="15" s="1"/>
  <c r="K23" i="15"/>
  <c r="W32" i="15"/>
  <c r="N23" i="15"/>
  <c r="N32" i="15"/>
  <c r="AD22" i="3"/>
  <c r="C20" i="13" s="1"/>
  <c r="AD25" i="3"/>
  <c r="AD26" i="3"/>
  <c r="AD24" i="3"/>
  <c r="AD12" i="3"/>
  <c r="AD20" i="3"/>
  <c r="AD14" i="3"/>
  <c r="AD15" i="3"/>
  <c r="AD18" i="3"/>
  <c r="AD19" i="3"/>
  <c r="AD13" i="3"/>
  <c r="AD16" i="3"/>
  <c r="AD17" i="3"/>
  <c r="W28" i="10"/>
  <c r="T27" i="10"/>
  <c r="Z22" i="10"/>
  <c r="H27" i="10"/>
  <c r="Q27" i="10"/>
  <c r="K28" i="10"/>
  <c r="M7" i="10"/>
  <c r="K27" i="10"/>
  <c r="Z12" i="10"/>
  <c r="Z11" i="10"/>
  <c r="Z14" i="10"/>
  <c r="Z16" i="10"/>
  <c r="Q28" i="10"/>
  <c r="Z23" i="10"/>
  <c r="Z8" i="10"/>
  <c r="Z7" i="10"/>
  <c r="Z6" i="10"/>
  <c r="Z10" i="10"/>
  <c r="AA21" i="10"/>
  <c r="AA20" i="10"/>
  <c r="AA18" i="10"/>
  <c r="Z13" i="10"/>
  <c r="Z9" i="10"/>
  <c r="Z25" i="10"/>
  <c r="Z21" i="10"/>
  <c r="Z24" i="10"/>
  <c r="Z18" i="10"/>
  <c r="Z19" i="10"/>
  <c r="Z20" i="10"/>
  <c r="Z17" i="10"/>
  <c r="G17" i="10"/>
  <c r="AA17" i="10" s="1"/>
  <c r="AA19" i="10"/>
  <c r="P13" i="10"/>
  <c r="M13" i="10"/>
  <c r="P14" i="10"/>
  <c r="P11" i="10"/>
  <c r="P12" i="10"/>
  <c r="M12" i="10"/>
  <c r="M11" i="10"/>
  <c r="P10" i="10"/>
  <c r="M10" i="10"/>
  <c r="M14" i="10"/>
  <c r="J13" i="10"/>
  <c r="J12" i="10"/>
  <c r="J11" i="10"/>
  <c r="J14" i="10"/>
  <c r="J10" i="10"/>
  <c r="AO11" i="3" l="1"/>
  <c r="Z12" i="15"/>
  <c r="AA12" i="15" s="1"/>
  <c r="Q59" i="15"/>
  <c r="Q62" i="15"/>
  <c r="Q66" i="15" s="1"/>
  <c r="Q69" i="15" s="1"/>
  <c r="T62" i="15"/>
  <c r="T66" i="15" s="1"/>
  <c r="T69" i="15" s="1"/>
  <c r="T59" i="15"/>
  <c r="AD27" i="3"/>
  <c r="AD28" i="3"/>
  <c r="AD30" i="3"/>
  <c r="AD29" i="3"/>
  <c r="AD31" i="3"/>
  <c r="W23" i="15"/>
  <c r="W34" i="15" s="1"/>
  <c r="W55" i="15" s="1"/>
  <c r="N34" i="15"/>
  <c r="N55" i="15" s="1"/>
  <c r="Z32" i="15"/>
  <c r="K32" i="15"/>
  <c r="Z26" i="10"/>
  <c r="S13" i="10"/>
  <c r="S12" i="10"/>
  <c r="S14" i="10"/>
  <c r="S10" i="10"/>
  <c r="S11" i="10"/>
  <c r="AD33" i="3" l="1"/>
  <c r="AA32" i="15"/>
  <c r="N62" i="15"/>
  <c r="N66" i="15" s="1"/>
  <c r="N69" i="15" s="1"/>
  <c r="N59" i="15"/>
  <c r="W59" i="15"/>
  <c r="W62" i="15"/>
  <c r="W66" i="15" s="1"/>
  <c r="W69" i="15" s="1"/>
  <c r="AO32" i="3"/>
  <c r="C14" i="13" s="1"/>
  <c r="Z23" i="15"/>
  <c r="Z34" i="15" s="1"/>
  <c r="Z55" i="15" s="1"/>
  <c r="K34" i="15"/>
  <c r="K55" i="15" s="1"/>
  <c r="V10" i="10"/>
  <c r="V14" i="10"/>
  <c r="V11" i="10"/>
  <c r="C12" i="13" l="1"/>
  <c r="Z59" i="15"/>
  <c r="Z62" i="15"/>
  <c r="Z66" i="15" s="1"/>
  <c r="Z69" i="15" s="1"/>
  <c r="K59" i="15"/>
  <c r="K62" i="15"/>
  <c r="K66" i="15" s="1"/>
  <c r="K69" i="15" s="1"/>
  <c r="V13" i="10"/>
  <c r="Y10" i="10"/>
  <c r="AA10" i="10" s="1"/>
  <c r="V12" i="10"/>
  <c r="Y14" i="10"/>
  <c r="AA14" i="10" s="1"/>
  <c r="Z33" i="3"/>
  <c r="Z54" i="3" s="1"/>
  <c r="K33" i="3"/>
  <c r="Q33" i="3"/>
  <c r="T33" i="3"/>
  <c r="N2" i="10"/>
  <c r="K2" i="10"/>
  <c r="H2" i="10"/>
  <c r="E2" i="10"/>
  <c r="Y12" i="10" l="1"/>
  <c r="AA12" i="10" s="1"/>
  <c r="Y11" i="10"/>
  <c r="AA11" i="10" s="1"/>
  <c r="Y13" i="10"/>
  <c r="AA13" i="10" s="1"/>
  <c r="W33" i="3"/>
  <c r="W54" i="3" s="1"/>
  <c r="W58" i="3" s="1"/>
  <c r="N33" i="3"/>
  <c r="AC33" i="3"/>
  <c r="AC54" i="3" s="1"/>
  <c r="Z61" i="3"/>
  <c r="Z65" i="3" s="1"/>
  <c r="Z58" i="3"/>
  <c r="D7" i="10"/>
  <c r="G6" i="10"/>
  <c r="D6" i="10"/>
  <c r="AA42" i="10"/>
  <c r="G27" i="10" l="1"/>
  <c r="Z68" i="3"/>
  <c r="V50" i="10" s="1"/>
  <c r="V49" i="10"/>
  <c r="W61" i="3"/>
  <c r="W65" i="3" s="1"/>
  <c r="AC58" i="3"/>
  <c r="AC61" i="3"/>
  <c r="D23" i="10"/>
  <c r="D24" i="10"/>
  <c r="D22" i="10"/>
  <c r="P7" i="10"/>
  <c r="P28" i="10" s="1"/>
  <c r="P8" i="10"/>
  <c r="G9" i="10"/>
  <c r="P9" i="10"/>
  <c r="M9" i="10"/>
  <c r="G8" i="10"/>
  <c r="G7" i="10"/>
  <c r="G28" i="10" s="1"/>
  <c r="J7" i="10"/>
  <c r="J28" i="10" s="1"/>
  <c r="J8" i="10"/>
  <c r="J9" i="10"/>
  <c r="D8" i="10"/>
  <c r="K46" i="3"/>
  <c r="N46" i="3"/>
  <c r="AA39" i="10"/>
  <c r="AA37" i="10"/>
  <c r="AA46" i="10"/>
  <c r="AA44" i="10"/>
  <c r="AA43" i="10"/>
  <c r="T46" i="3"/>
  <c r="Q46" i="3"/>
  <c r="C43" i="13"/>
  <c r="C38" i="13"/>
  <c r="C40" i="13"/>
  <c r="C25" i="13"/>
  <c r="C37" i="13"/>
  <c r="D32" i="10" l="1"/>
  <c r="D35" i="10"/>
  <c r="D34" i="10"/>
  <c r="AD46" i="3"/>
  <c r="AC65" i="3"/>
  <c r="Y49" i="10" s="1"/>
  <c r="C39" i="13"/>
  <c r="C36" i="13"/>
  <c r="C29" i="13"/>
  <c r="C46" i="13" s="1"/>
  <c r="C42" i="13"/>
  <c r="W68" i="3"/>
  <c r="S50" i="10" s="1"/>
  <c r="S49" i="10"/>
  <c r="G16" i="10"/>
  <c r="G33" i="10" s="1"/>
  <c r="G23" i="10"/>
  <c r="G25" i="10"/>
  <c r="G22" i="10"/>
  <c r="G24" i="10"/>
  <c r="AA41" i="10"/>
  <c r="M8" i="10"/>
  <c r="M28" i="10"/>
  <c r="D9" i="10"/>
  <c r="H52" i="3"/>
  <c r="H54" i="3" s="1"/>
  <c r="H61" i="3" s="1"/>
  <c r="H65" i="3" s="1"/>
  <c r="D49" i="10" s="1"/>
  <c r="G36" i="10" l="1"/>
  <c r="D36" i="10"/>
  <c r="AC68" i="3"/>
  <c r="Y50" i="10" s="1"/>
  <c r="AA48" i="10"/>
  <c r="AA45" i="10"/>
  <c r="S8" i="10"/>
  <c r="S7" i="10"/>
  <c r="S9" i="10"/>
  <c r="J25" i="10"/>
  <c r="J23" i="10"/>
  <c r="J24" i="10"/>
  <c r="J22" i="10"/>
  <c r="Q52" i="3"/>
  <c r="G40" i="10"/>
  <c r="N52" i="3"/>
  <c r="N54" i="3" s="1"/>
  <c r="K52" i="3"/>
  <c r="K54" i="3" s="1"/>
  <c r="M23" i="10" l="1"/>
  <c r="M24" i="10"/>
  <c r="M25" i="10"/>
  <c r="M16" i="10"/>
  <c r="M33" i="10" s="1"/>
  <c r="M22" i="10"/>
  <c r="D26" i="10"/>
  <c r="B49" i="10" s="1"/>
  <c r="J6" i="10"/>
  <c r="J16" i="10"/>
  <c r="J33" i="10" s="1"/>
  <c r="M6" i="10"/>
  <c r="J27" i="10" l="1"/>
  <c r="V8" i="10"/>
  <c r="V7" i="10"/>
  <c r="V9" i="10"/>
  <c r="G26" i="10"/>
  <c r="E49" i="10" s="1"/>
  <c r="J40" i="10"/>
  <c r="T52" i="3"/>
  <c r="AD52" i="3" s="1"/>
  <c r="C23" i="13"/>
  <c r="M40" i="10"/>
  <c r="P6" i="10"/>
  <c r="C44" i="13" l="1"/>
  <c r="C47" i="13" s="1"/>
  <c r="J36" i="10"/>
  <c r="Y8" i="10"/>
  <c r="AA8" i="10" s="1"/>
  <c r="J26" i="10"/>
  <c r="P23" i="10"/>
  <c r="P24" i="10"/>
  <c r="P25" i="10"/>
  <c r="P22" i="10"/>
  <c r="Y7" i="10"/>
  <c r="P16" i="10"/>
  <c r="P33" i="10" s="1"/>
  <c r="H49" i="10" l="1"/>
  <c r="AA7" i="10"/>
  <c r="S6" i="10"/>
  <c r="Y9" i="10"/>
  <c r="AA9" i="10" s="1"/>
  <c r="M5" i="10"/>
  <c r="P5" i="10"/>
  <c r="P27" i="10" l="1"/>
  <c r="M27" i="10"/>
  <c r="M26" i="10"/>
  <c r="S23" i="10"/>
  <c r="V6" i="10"/>
  <c r="S22" i="10"/>
  <c r="P26" i="10"/>
  <c r="S25" i="10"/>
  <c r="S24" i="10"/>
  <c r="S16" i="10"/>
  <c r="S33" i="10" s="1"/>
  <c r="H58" i="3"/>
  <c r="P40" i="10"/>
  <c r="AA40" i="10" s="1"/>
  <c r="AA38" i="10"/>
  <c r="M36" i="10" l="1"/>
  <c r="K49" i="10" s="1"/>
  <c r="P36" i="10"/>
  <c r="N49" i="10" s="1"/>
  <c r="AA26" i="10"/>
  <c r="V16" i="10"/>
  <c r="V33" i="10" s="1"/>
  <c r="V24" i="10"/>
  <c r="S5" i="10"/>
  <c r="V22" i="10"/>
  <c r="V25" i="10"/>
  <c r="S28" i="10" l="1"/>
  <c r="S26" i="10"/>
  <c r="V5" i="10"/>
  <c r="V23" i="10"/>
  <c r="Y6" i="10"/>
  <c r="K58" i="3" l="1"/>
  <c r="S36" i="10"/>
  <c r="Q49" i="10" s="1"/>
  <c r="V27" i="10"/>
  <c r="V28" i="10"/>
  <c r="AA6" i="10"/>
  <c r="V26" i="10"/>
  <c r="Y16" i="10"/>
  <c r="Y25" i="10"/>
  <c r="AA25" i="10" s="1"/>
  <c r="Y24" i="10"/>
  <c r="AA24" i="10" s="1"/>
  <c r="Y22" i="10"/>
  <c r="AA22" i="10" s="1"/>
  <c r="N58" i="3"/>
  <c r="K61" i="3"/>
  <c r="AA16" i="10" l="1"/>
  <c r="Y33" i="10"/>
  <c r="V36" i="10"/>
  <c r="T49" i="10" s="1"/>
  <c r="Y5" i="10"/>
  <c r="Y23" i="10"/>
  <c r="AA23" i="10" s="1"/>
  <c r="H68" i="3"/>
  <c r="Q54" i="3"/>
  <c r="K65" i="3"/>
  <c r="N61" i="3"/>
  <c r="D50" i="10" l="1"/>
  <c r="Y28" i="10"/>
  <c r="AA28" i="10" s="1"/>
  <c r="AA35" i="10"/>
  <c r="AA33" i="10"/>
  <c r="AA34" i="10"/>
  <c r="AA32" i="10"/>
  <c r="G49" i="10"/>
  <c r="Q58" i="3"/>
  <c r="Q61" i="3"/>
  <c r="Q65" i="3" s="1"/>
  <c r="AA5" i="10"/>
  <c r="Y27" i="10"/>
  <c r="Y26" i="10"/>
  <c r="N65" i="3"/>
  <c r="K68" i="3"/>
  <c r="T54" i="3"/>
  <c r="AD54" i="3" s="1"/>
  <c r="G50" i="10" l="1"/>
  <c r="Y36" i="10"/>
  <c r="AA27" i="10"/>
  <c r="J49" i="10"/>
  <c r="T58" i="3"/>
  <c r="AD58" i="3" s="1"/>
  <c r="M49" i="10"/>
  <c r="N68" i="3"/>
  <c r="T61" i="3"/>
  <c r="AD61" i="3" s="1"/>
  <c r="AA36" i="10" l="1"/>
  <c r="W49" i="10"/>
  <c r="J50" i="10"/>
  <c r="T65" i="3"/>
  <c r="AD65" i="3" s="1"/>
  <c r="AA49" i="10" s="1"/>
  <c r="Q68" i="3"/>
  <c r="M50" i="10" l="1"/>
  <c r="P49" i="10"/>
  <c r="T68" i="3"/>
  <c r="P50" i="10" s="1"/>
  <c r="AD68" i="3" l="1"/>
  <c r="AA50" i="10" l="1"/>
  <c r="AD71" i="3"/>
  <c r="E21" i="15"/>
  <c r="E23" i="15" l="1"/>
  <c r="AA21" i="15"/>
  <c r="E34" i="15" l="1"/>
  <c r="AA23" i="15"/>
  <c r="E55" i="15" l="1"/>
  <c r="AA55" i="15" s="1"/>
  <c r="AA34" i="15"/>
  <c r="E59" i="15" l="1"/>
  <c r="AA59" i="15" s="1"/>
  <c r="E62" i="15"/>
  <c r="AA62" i="15" s="1"/>
  <c r="E66" i="15" l="1"/>
  <c r="AA66" i="15" s="1"/>
  <c r="E69" i="15" l="1"/>
  <c r="AA69" i="15" s="1"/>
</calcChain>
</file>

<file path=xl/sharedStrings.xml><?xml version="1.0" encoding="utf-8"?>
<sst xmlns="http://schemas.openxmlformats.org/spreadsheetml/2006/main" count="971" uniqueCount="242">
  <si>
    <t>Months</t>
  </si>
  <si>
    <t>Year One</t>
  </si>
  <si>
    <t>Year Two</t>
  </si>
  <si>
    <t>Year Three</t>
  </si>
  <si>
    <t>Year Four</t>
  </si>
  <si>
    <t>Year Five</t>
  </si>
  <si>
    <t>Grad Student</t>
  </si>
  <si>
    <t>Post Doc</t>
  </si>
  <si>
    <t>Undergrad Student</t>
  </si>
  <si>
    <t>Teams Exempt</t>
  </si>
  <si>
    <t>Teams Non-Exempt</t>
  </si>
  <si>
    <t xml:space="preserve">Faculty </t>
  </si>
  <si>
    <t>Fringe Rate</t>
  </si>
  <si>
    <t>Materials &amp; Supplies</t>
  </si>
  <si>
    <t>Domestic Travel</t>
  </si>
  <si>
    <t>Foreign Travel</t>
  </si>
  <si>
    <t>Total Expenses</t>
  </si>
  <si>
    <t>Total Other</t>
  </si>
  <si>
    <t>IDC Rate</t>
  </si>
  <si>
    <t>Total IDC</t>
  </si>
  <si>
    <t>TOTAL COSTS:</t>
  </si>
  <si>
    <t>Effective Period</t>
  </si>
  <si>
    <t>TOTAL</t>
  </si>
  <si>
    <t>Annually</t>
  </si>
  <si>
    <t>INDIRECT COSTS:</t>
  </si>
  <si>
    <t>EXPENSES:</t>
  </si>
  <si>
    <t>Faculty Monthly Salary Info</t>
  </si>
  <si>
    <t>Monthly</t>
  </si>
  <si>
    <t>(Annual 9-mo)</t>
  </si>
  <si>
    <t>(12-mo equiv)</t>
  </si>
  <si>
    <t>(Mo. Salary)</t>
  </si>
  <si>
    <t>Faculty 9-mo salary to 12-mo conversion (Enter the 9-Mo. annual in cell below)</t>
  </si>
  <si>
    <t>TUITION TABLE</t>
  </si>
  <si>
    <t>TOTAL DIRECT COST:</t>
  </si>
  <si>
    <t>TDC</t>
  </si>
  <si>
    <t>MODIFIED TOTAL DIRECT COST:</t>
  </si>
  <si>
    <t>MTDC</t>
  </si>
  <si>
    <t>(3 month summer)</t>
  </si>
  <si>
    <t>8/16/21 - 8/15/22</t>
  </si>
  <si>
    <t xml:space="preserve">AGENCY:  </t>
  </si>
  <si>
    <t xml:space="preserve">TITLE: </t>
  </si>
  <si>
    <t xml:space="preserve">Equipment </t>
  </si>
  <si>
    <t>TOTAL PROPOSED AMOUNT</t>
  </si>
  <si>
    <t>RATE</t>
  </si>
  <si>
    <t>AMOUNT</t>
  </si>
  <si>
    <t>$</t>
  </si>
  <si>
    <t>SUBTOTAL  
(all direct labor costs)</t>
  </si>
  <si>
    <t>%</t>
  </si>
  <si>
    <t>SUBTOTAL 
(all labor overhead costs)</t>
  </si>
  <si>
    <t>SUBCONTRACTOR(S) &amp; CONSULTANT(S) 
(List each separately)</t>
  </si>
  <si>
    <t>MATERIAL OVERHEAD (if applicable)</t>
  </si>
  <si>
    <t>GENERAL &amp; ADMINISTRATIVE (G&amp;A)</t>
  </si>
  <si>
    <t>PROFIT/FEE</t>
  </si>
  <si>
    <t>TOTAL PRICE</t>
  </si>
  <si>
    <t>GOVERNMENT SHARE</t>
  </si>
  <si>
    <t>RECIPIENT SHARE (if applicable)</t>
  </si>
  <si>
    <t xml:space="preserve">Cost Summary Spreadsheet Hourly Breakdown
</t>
  </si>
  <si>
    <t xml:space="preserve">Hours Key </t>
  </si>
  <si>
    <t xml:space="preserve">Per Month </t>
  </si>
  <si>
    <t>Per Year</t>
  </si>
  <si>
    <t xml:space="preserve">Per Month Grad Time </t>
  </si>
  <si>
    <t>DOMESTIC TRAVEL</t>
  </si>
  <si>
    <t>FOREIGN TRAVEL</t>
  </si>
  <si>
    <t>MATERIALS &amp; SUPPLIES</t>
  </si>
  <si>
    <t>PUBLICATION</t>
  </si>
  <si>
    <t>FABRICATION</t>
  </si>
  <si>
    <t>EQUIPMENT</t>
  </si>
  <si>
    <t>TUITION</t>
  </si>
  <si>
    <t>SUBTOTAL  
(direct costs)</t>
  </si>
  <si>
    <t>SUBTOTAL  
(indirect costs)</t>
  </si>
  <si>
    <t xml:space="preserve">CUMULATIVE TOTAL
</t>
  </si>
  <si>
    <t>HOURS</t>
  </si>
  <si>
    <t>TOTAL PROPOSED HOURS</t>
  </si>
  <si>
    <t>Faculty:</t>
  </si>
  <si>
    <t>% on Project</t>
  </si>
  <si>
    <t>Role</t>
  </si>
  <si>
    <t>PROJECT BEGIN:</t>
  </si>
  <si>
    <t>PROJECT END:</t>
  </si>
  <si>
    <t>NUMBER OF YEARS:</t>
  </si>
  <si>
    <t>Appt Type</t>
  </si>
  <si>
    <t>Person Months</t>
  </si>
  <si>
    <t>Effort</t>
  </si>
  <si>
    <t>SALARY CAP:</t>
  </si>
  <si>
    <t>Consortium/Subcontract</t>
  </si>
  <si>
    <t xml:space="preserve">12 Mos Base Salary </t>
  </si>
  <si>
    <t xml:space="preserve">TARGET BUDGET AMOUNT: </t>
  </si>
  <si>
    <t>VARIANCE:</t>
  </si>
  <si>
    <t>PERSONNEL INFLATION RATE:</t>
  </si>
  <si>
    <t>Faculty</t>
  </si>
  <si>
    <t>Clinical Faculty</t>
  </si>
  <si>
    <t>Fringe</t>
  </si>
  <si>
    <t>Salary Plan</t>
  </si>
  <si>
    <t>OPS Other/Temporary Faculty</t>
  </si>
  <si>
    <t>Regular Post Doc</t>
  </si>
  <si>
    <t>Graduate Tuition</t>
  </si>
  <si>
    <t>#of Grad Students</t>
  </si>
  <si>
    <t>Grad Students</t>
  </si>
  <si>
    <t>Year 1</t>
  </si>
  <si>
    <t>Year 2</t>
  </si>
  <si>
    <t>Year 3</t>
  </si>
  <si>
    <t>Year 4</t>
  </si>
  <si>
    <t>Year 5</t>
  </si>
  <si>
    <t>Graduate Student Count for Tuition Calculator</t>
  </si>
  <si>
    <t>Salary &amp; Fringe</t>
  </si>
  <si>
    <t>Total Salary &amp; Fringe:</t>
  </si>
  <si>
    <t>Rate</t>
  </si>
  <si>
    <t>Year Six</t>
  </si>
  <si>
    <t>Year Seven</t>
  </si>
  <si>
    <t>Year Eight</t>
  </si>
  <si>
    <t>Title:</t>
  </si>
  <si>
    <t>Direct Balance Today</t>
  </si>
  <si>
    <t>Residency</t>
  </si>
  <si>
    <t>Agency:</t>
  </si>
  <si>
    <t>Direct Bal. After Projections</t>
  </si>
  <si>
    <t>R</t>
  </si>
  <si>
    <t>FL Resident</t>
  </si>
  <si>
    <t>Spring 2019</t>
  </si>
  <si>
    <t>Project #:</t>
  </si>
  <si>
    <t>% Time Spent</t>
  </si>
  <si>
    <t>N</t>
  </si>
  <si>
    <t>Non-Resident</t>
  </si>
  <si>
    <t>Summer 2019</t>
  </si>
  <si>
    <t>Award Start:</t>
  </si>
  <si>
    <t>% Money Spent</t>
  </si>
  <si>
    <t>Fall 2019</t>
  </si>
  <si>
    <t>Award End:</t>
  </si>
  <si>
    <t>Cost Share Balance</t>
  </si>
  <si>
    <t>Spring 2020</t>
  </si>
  <si>
    <t>NCE:</t>
  </si>
  <si>
    <t>Report Date</t>
  </si>
  <si>
    <t>Summer 2020</t>
  </si>
  <si>
    <t>Type of Funding:</t>
  </si>
  <si>
    <t>Fall 2020</t>
  </si>
  <si>
    <t>IDC Rate:</t>
  </si>
  <si>
    <t>Spring 2021</t>
  </si>
  <si>
    <t>Cost Share:</t>
  </si>
  <si>
    <t>Summer 2021</t>
  </si>
  <si>
    <t>Budget Categories</t>
  </si>
  <si>
    <t>Received to Date</t>
  </si>
  <si>
    <t>Budget Transfer 1</t>
  </si>
  <si>
    <t>Budget Transfer 2</t>
  </si>
  <si>
    <t>Expenses To Date</t>
  </si>
  <si>
    <t>Current Balance</t>
  </si>
  <si>
    <t>Current Projections/ Encumbrances</t>
  </si>
  <si>
    <t>Balance After Projections</t>
  </si>
  <si>
    <t>Fall 2021</t>
  </si>
  <si>
    <t>Salary, OPS &amp; Fringe</t>
  </si>
  <si>
    <t>Spring 2022</t>
  </si>
  <si>
    <t>Fringe Benefits</t>
  </si>
  <si>
    <t>Tuition</t>
  </si>
  <si>
    <t>Other Expenses</t>
  </si>
  <si>
    <t>Publication Costs</t>
  </si>
  <si>
    <t>Consultant Services</t>
  </si>
  <si>
    <t>Subcontract &lt;=$25k</t>
  </si>
  <si>
    <t>Subcontract &gt;$25k</t>
  </si>
  <si>
    <t>Total Direct</t>
  </si>
  <si>
    <t>IDC</t>
  </si>
  <si>
    <t>Total</t>
  </si>
  <si>
    <t>Projected PI/Faculty Costs</t>
  </si>
  <si>
    <t>Employee</t>
  </si>
  <si>
    <t>% Distributed</t>
  </si>
  <si>
    <t>Type</t>
  </si>
  <si>
    <t>Biweekly Pay</t>
  </si>
  <si>
    <t>Fringe %</t>
  </si>
  <si>
    <t>Total B/W</t>
  </si>
  <si>
    <t>Begin</t>
  </si>
  <si>
    <t>End</t>
  </si>
  <si>
    <t>Pay Per</t>
  </si>
  <si>
    <t>Projected Graduate/Undergraduate/Postdoctoral/OPS Costs</t>
  </si>
  <si>
    <t>Total Cost</t>
  </si>
  <si>
    <t>Tuition Costs</t>
  </si>
  <si>
    <t>Annual Rate</t>
  </si>
  <si>
    <t>Expense Encumbrances</t>
  </si>
  <si>
    <t>Description</t>
  </si>
  <si>
    <t>Date</t>
  </si>
  <si>
    <t>PO/TA #</t>
  </si>
  <si>
    <t>Category</t>
  </si>
  <si>
    <t>Amount</t>
  </si>
  <si>
    <t>Allocation Type</t>
  </si>
  <si>
    <t>Non Key Personnel</t>
  </si>
  <si>
    <t>NUMBER OF MONTHS:</t>
  </si>
  <si>
    <t>Salary</t>
  </si>
  <si>
    <t>Other OPS</t>
  </si>
  <si>
    <t># of OPS</t>
  </si>
  <si>
    <t>Wages</t>
  </si>
  <si>
    <t>OTHER PERSONNEL:</t>
  </si>
  <si>
    <t xml:space="preserve">   </t>
  </si>
  <si>
    <t>Total OPS</t>
  </si>
  <si>
    <t>Total Wages</t>
  </si>
  <si>
    <t>Fringe Amt</t>
  </si>
  <si>
    <t>Total Fringe</t>
  </si>
  <si>
    <t>Total Wages &amp; Fringe</t>
  </si>
  <si>
    <t>OPS Wages Info</t>
  </si>
  <si>
    <t>Exempt TEAMS</t>
  </si>
  <si>
    <t>Non-Exempt TEAMS</t>
  </si>
  <si>
    <t>Clinical Post Doc Associates</t>
  </si>
  <si>
    <t>OPS Student/Undergrad Student</t>
  </si>
  <si>
    <t>Fringe Calculations</t>
  </si>
  <si>
    <t>Year 6</t>
  </si>
  <si>
    <t>Year 7</t>
  </si>
  <si>
    <t>Year 8</t>
  </si>
  <si>
    <t>Expense Categories</t>
  </si>
  <si>
    <t>TARGET</t>
  </si>
  <si>
    <t>VARIANCE</t>
  </si>
  <si>
    <t>Grand Total</t>
  </si>
  <si>
    <t>FRINGE:</t>
  </si>
  <si>
    <t>Alterations and Renovations</t>
  </si>
  <si>
    <t>Animal</t>
  </si>
  <si>
    <t>Computer Services</t>
  </si>
  <si>
    <t>Human Subject Payment</t>
  </si>
  <si>
    <t>Participant Support: Other</t>
  </si>
  <si>
    <t>Participant Support: Participant Stipends</t>
  </si>
  <si>
    <t>Participant Support: Subsistence</t>
  </si>
  <si>
    <t>Participant Support: Travel</t>
  </si>
  <si>
    <t>Patient Care</t>
  </si>
  <si>
    <t xml:space="preserve">Rental/User Fees - Equipment or Facility </t>
  </si>
  <si>
    <t>Scholarships and Fellowships</t>
  </si>
  <si>
    <t>EXPENSES NOT ACCRUING IDC:</t>
  </si>
  <si>
    <t xml:space="preserve">Monthly Salary </t>
  </si>
  <si>
    <t>TOTAL IDC</t>
  </si>
  <si>
    <t>Consortium/Subcontract Directs</t>
  </si>
  <si>
    <t>KEY PERSONNEL:</t>
  </si>
  <si>
    <t>NON-KEY PERSONNEL:</t>
  </si>
  <si>
    <t>Other Direct Categories</t>
  </si>
  <si>
    <t>FTE</t>
  </si>
  <si>
    <t>**Fill in the white cells to calculate the remaining</t>
  </si>
  <si>
    <t>**Multiply the number after the decimal by 60 to get the minutes needed to work</t>
  </si>
  <si>
    <t>Project Dates</t>
  </si>
  <si>
    <t>Hours</t>
  </si>
  <si>
    <t>Project Begin:</t>
  </si>
  <si>
    <t>Project End:</t>
  </si>
  <si>
    <t>Number of Months:</t>
  </si>
  <si>
    <t>Distribution Calculator</t>
  </si>
  <si>
    <t>FY22 Rates (7/1/21– 6/30/22)</t>
  </si>
  <si>
    <t>8/16/22 - 8/15/23</t>
  </si>
  <si>
    <t>8/16/23 - 8/15/24</t>
  </si>
  <si>
    <t>8/16/24 - 8/15/25</t>
  </si>
  <si>
    <t>8/16/25 - 8/15/26</t>
  </si>
  <si>
    <t>8/16/26 - 8/15/27</t>
  </si>
  <si>
    <t>Proposed Budget</t>
  </si>
  <si>
    <t>OTHER EXPENSES</t>
  </si>
  <si>
    <t>NIH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</si>
</sst>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0.0"/>
    <numFmt numFmtId="167" formatCode="0.0%"/>
    <numFmt numFmtId="168" formatCode="&quot;$&quot;#,##0.00;[Red]&quot;$&quot;#,##0.00"/>
    <numFmt numFmtId="169" formatCode="&quot;$&quot;#,##0;[Red]&quot;$&quot;#,##0"/>
    <numFmt numFmtId="170" formatCode="mm/dd/yyyy"/>
    <numFmt numFmtId="171" formatCode="mm/dd/yy;@"/>
    <numFmt numFmtId="172" formatCode="0.000"/>
    <numFmt numFmtId="173" formatCode="&quot;$&quot;#,##0.000000"/>
  </numFmts>
  <fonts count="43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harter Roman"/>
    </font>
    <font>
      <b/>
      <sz val="12"/>
      <color theme="1"/>
      <name val="Charter Roman"/>
    </font>
    <font>
      <b/>
      <sz val="16"/>
      <color theme="1"/>
      <name val="Charter Roman"/>
    </font>
    <font>
      <sz val="12"/>
      <color theme="1"/>
      <name val="Helvetica Neue"/>
      <family val="2"/>
    </font>
    <font>
      <sz val="12"/>
      <color rgb="FF000000"/>
      <name val="Charter Roman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2"/>
      <name val="Charter Roman"/>
    </font>
    <font>
      <b/>
      <sz val="10"/>
      <color theme="1"/>
      <name val="Charter Roman"/>
    </font>
    <font>
      <b/>
      <u/>
      <sz val="10"/>
      <color theme="1"/>
      <name val="Charter Roman"/>
    </font>
    <font>
      <b/>
      <sz val="10"/>
      <color theme="0" tint="-0.14999847407452621"/>
      <name val="Charter Roman"/>
    </font>
    <font>
      <sz val="12"/>
      <color theme="0" tint="-0.14999847407452621"/>
      <name val="Charter Roman"/>
    </font>
    <font>
      <sz val="10"/>
      <name val="Charter roman"/>
    </font>
    <font>
      <b/>
      <sz val="11"/>
      <color theme="1"/>
      <name val="Charter roman"/>
    </font>
    <font>
      <sz val="11"/>
      <color theme="1"/>
      <name val="Charter Roman"/>
    </font>
    <font>
      <b/>
      <u/>
      <sz val="11"/>
      <name val="Charter Roman"/>
    </font>
    <font>
      <u/>
      <sz val="11"/>
      <name val="Charter Roman"/>
    </font>
    <font>
      <sz val="10"/>
      <color theme="1"/>
      <name val="Charter roman"/>
    </font>
    <font>
      <i/>
      <sz val="10"/>
      <color theme="1"/>
      <name val="Charter Roman"/>
    </font>
    <font>
      <b/>
      <sz val="10"/>
      <name val="Charter Roman"/>
    </font>
    <font>
      <sz val="12"/>
      <color theme="1"/>
      <name val="Calibri"/>
      <family val="2"/>
      <scheme val="minor"/>
    </font>
    <font>
      <b/>
      <sz val="9"/>
      <color theme="1"/>
      <name val="Charter Roman"/>
    </font>
    <font>
      <sz val="9"/>
      <color theme="1"/>
      <name val="Charter roman"/>
    </font>
    <font>
      <b/>
      <u/>
      <sz val="9"/>
      <color theme="1"/>
      <name val="Charter Roman"/>
    </font>
    <font>
      <b/>
      <sz val="9"/>
      <color theme="0" tint="-0.14999847407452621"/>
      <name val="Charter Roman"/>
    </font>
    <font>
      <sz val="9"/>
      <color theme="0" tint="-0.14999847407452621"/>
      <name val="Charter Roman"/>
    </font>
    <font>
      <b/>
      <sz val="9"/>
      <color theme="2"/>
      <name val="Charter Roman"/>
    </font>
    <font>
      <b/>
      <u/>
      <sz val="9"/>
      <name val="Charter Roman"/>
    </font>
    <font>
      <sz val="9"/>
      <name val="Charter roman"/>
    </font>
    <font>
      <u/>
      <sz val="9"/>
      <name val="Charter Roman"/>
    </font>
    <font>
      <sz val="9"/>
      <color theme="1"/>
      <name val="Calibri"/>
      <family val="2"/>
      <scheme val="minor"/>
    </font>
    <font>
      <sz val="9"/>
      <color theme="1"/>
      <name val="Helvetica Neue"/>
      <family val="2"/>
    </font>
    <font>
      <sz val="11.5"/>
      <color rgb="FF000000"/>
      <name val="Calibri"/>
      <family val="2"/>
      <scheme val="minor"/>
    </font>
    <font>
      <sz val="12"/>
      <name val="Charter Roman"/>
    </font>
    <font>
      <b/>
      <sz val="9"/>
      <name val="Charter Roman"/>
    </font>
  </fonts>
  <fills count="2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6F79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BC3DF"/>
        <bgColor indexed="64"/>
      </patternFill>
    </fill>
    <fill>
      <patternFill patternType="solid">
        <fgColor rgb="FFD5E1EF"/>
        <bgColor indexed="64"/>
      </patternFill>
    </fill>
    <fill>
      <patternFill patternType="solid">
        <fgColor rgb="FFBFD1E7"/>
        <bgColor indexed="64"/>
      </patternFill>
    </fill>
    <fill>
      <patternFill patternType="solid">
        <fgColor rgb="FF88A9D2"/>
        <bgColor indexed="64"/>
      </patternFill>
    </fill>
    <fill>
      <patternFill patternType="solid">
        <fgColor rgb="FF779DCB"/>
        <bgColor indexed="64"/>
      </patternFill>
    </fill>
    <fill>
      <patternFill patternType="solid">
        <fgColor theme="8" tint="0.39997558519241921"/>
        <bgColor indexed="64"/>
      </patternFill>
    </fill>
  </fills>
  <borders count="8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8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577">
    <xf numFmtId="0" fontId="0" fillId="0" borderId="0" xfId="0"/>
    <xf numFmtId="0" fontId="6" fillId="0" borderId="0" xfId="0" applyFont="1"/>
    <xf numFmtId="0" fontId="6" fillId="0" borderId="1" xfId="0" applyFont="1" applyBorder="1"/>
    <xf numFmtId="165" fontId="6" fillId="0" borderId="0" xfId="0" applyNumberFormat="1" applyFont="1"/>
    <xf numFmtId="0" fontId="6" fillId="0" borderId="0" xfId="0" applyFont="1" applyBorder="1"/>
    <xf numFmtId="0" fontId="9" fillId="0" borderId="0" xfId="0" applyFont="1"/>
    <xf numFmtId="0" fontId="8" fillId="3" borderId="0" xfId="0" applyFont="1" applyFill="1" applyAlignment="1">
      <alignment horizontal="center"/>
    </xf>
    <xf numFmtId="165" fontId="7" fillId="4" borderId="0" xfId="0" applyNumberFormat="1" applyFont="1" applyFill="1"/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169" fontId="6" fillId="0" borderId="13" xfId="0" applyNumberFormat="1" applyFont="1" applyFill="1" applyBorder="1"/>
    <xf numFmtId="169" fontId="6" fillId="0" borderId="10" xfId="0" applyNumberFormat="1" applyFont="1" applyFill="1" applyBorder="1"/>
    <xf numFmtId="169" fontId="6" fillId="0" borderId="1" xfId="0" applyNumberFormat="1" applyFont="1" applyFill="1" applyBorder="1"/>
    <xf numFmtId="168" fontId="6" fillId="0" borderId="1" xfId="0" applyNumberFormat="1" applyFont="1" applyFill="1" applyBorder="1"/>
    <xf numFmtId="0" fontId="6" fillId="0" borderId="1" xfId="0" applyFont="1" applyFill="1" applyBorder="1"/>
    <xf numFmtId="0" fontId="6" fillId="0" borderId="0" xfId="0" applyFont="1" applyBorder="1" applyAlignment="1">
      <alignment horizontal="left"/>
    </xf>
    <xf numFmtId="164" fontId="6" fillId="0" borderId="0" xfId="0" applyNumberFormat="1" applyFont="1" applyBorder="1" applyAlignment="1">
      <alignment horizontal="left"/>
    </xf>
    <xf numFmtId="0" fontId="2" fillId="0" borderId="0" xfId="277" applyAlignment="1">
      <alignment wrapText="1"/>
    </xf>
    <xf numFmtId="0" fontId="12" fillId="0" borderId="20" xfId="277" applyFont="1" applyBorder="1" applyAlignment="1">
      <alignment vertical="center" wrapText="1"/>
    </xf>
    <xf numFmtId="0" fontId="13" fillId="0" borderId="1" xfId="277" applyFont="1" applyBorder="1" applyAlignment="1">
      <alignment vertical="center" wrapText="1"/>
    </xf>
    <xf numFmtId="0" fontId="13" fillId="0" borderId="18" xfId="277" applyFont="1" applyBorder="1" applyAlignment="1">
      <alignment vertical="center" wrapText="1"/>
    </xf>
    <xf numFmtId="0" fontId="13" fillId="0" borderId="19" xfId="277" applyFont="1" applyBorder="1" applyAlignment="1">
      <alignment vertical="center" wrapText="1"/>
    </xf>
    <xf numFmtId="0" fontId="14" fillId="0" borderId="20" xfId="277" applyFont="1" applyBorder="1" applyAlignment="1">
      <alignment horizontal="right" vertical="center" wrapText="1"/>
    </xf>
    <xf numFmtId="0" fontId="13" fillId="6" borderId="17" xfId="277" applyFont="1" applyFill="1" applyBorder="1" applyAlignment="1">
      <alignment vertical="center" wrapText="1"/>
    </xf>
    <xf numFmtId="0" fontId="13" fillId="6" borderId="1" xfId="277" applyFont="1" applyFill="1" applyBorder="1" applyAlignment="1">
      <alignment vertical="center" wrapText="1"/>
    </xf>
    <xf numFmtId="0" fontId="13" fillId="0" borderId="17" xfId="277" applyFont="1" applyBorder="1" applyAlignment="1">
      <alignment vertical="center" wrapText="1"/>
    </xf>
    <xf numFmtId="0" fontId="12" fillId="0" borderId="21" xfId="277" applyFont="1" applyBorder="1" applyAlignment="1">
      <alignment vertical="center" wrapText="1"/>
    </xf>
    <xf numFmtId="0" fontId="13" fillId="6" borderId="22" xfId="277" applyFont="1" applyFill="1" applyBorder="1" applyAlignment="1">
      <alignment vertical="center" wrapText="1"/>
    </xf>
    <xf numFmtId="0" fontId="13" fillId="6" borderId="23" xfId="277" applyFont="1" applyFill="1" applyBorder="1" applyAlignment="1">
      <alignment vertical="center" wrapText="1"/>
    </xf>
    <xf numFmtId="0" fontId="13" fillId="0" borderId="24" xfId="277" applyFont="1" applyBorder="1" applyAlignment="1">
      <alignment vertical="center" wrapText="1"/>
    </xf>
    <xf numFmtId="0" fontId="13" fillId="0" borderId="25" xfId="277" applyFont="1" applyBorder="1" applyAlignment="1">
      <alignment vertical="center" wrapText="1"/>
    </xf>
    <xf numFmtId="164" fontId="13" fillId="0" borderId="1" xfId="277" applyNumberFormat="1" applyFont="1" applyBorder="1" applyAlignment="1">
      <alignment vertical="center" wrapText="1"/>
    </xf>
    <xf numFmtId="164" fontId="13" fillId="0" borderId="18" xfId="277" applyNumberFormat="1" applyFont="1" applyBorder="1" applyAlignment="1">
      <alignment vertical="center" wrapText="1"/>
    </xf>
    <xf numFmtId="164" fontId="13" fillId="0" borderId="19" xfId="277" applyNumberFormat="1" applyFont="1" applyBorder="1" applyAlignment="1">
      <alignment vertical="center" wrapText="1"/>
    </xf>
    <xf numFmtId="1" fontId="13" fillId="0" borderId="1" xfId="277" applyNumberFormat="1" applyFont="1" applyBorder="1" applyAlignment="1">
      <alignment wrapText="1"/>
    </xf>
    <xf numFmtId="0" fontId="13" fillId="0" borderId="1" xfId="277" applyFont="1" applyBorder="1" applyAlignment="1">
      <alignment wrapText="1"/>
    </xf>
    <xf numFmtId="10" fontId="13" fillId="0" borderId="1" xfId="277" applyNumberFormat="1" applyFont="1" applyBorder="1" applyAlignment="1">
      <alignment vertical="center" wrapText="1"/>
    </xf>
    <xf numFmtId="165" fontId="13" fillId="0" borderId="19" xfId="277" applyNumberFormat="1" applyFont="1" applyBorder="1" applyAlignment="1">
      <alignment vertical="center" wrapText="1"/>
    </xf>
    <xf numFmtId="165" fontId="13" fillId="0" borderId="18" xfId="277" applyNumberFormat="1" applyFont="1" applyBorder="1" applyAlignment="1">
      <alignment vertical="center" wrapText="1"/>
    </xf>
    <xf numFmtId="1" fontId="13" fillId="0" borderId="17" xfId="277" applyNumberFormat="1" applyFont="1" applyBorder="1" applyAlignment="1">
      <alignment horizontal="center" vertical="center" wrapText="1"/>
    </xf>
    <xf numFmtId="1" fontId="13" fillId="0" borderId="17" xfId="277" applyNumberFormat="1" applyFont="1" applyBorder="1" applyAlignment="1">
      <alignment vertical="center" wrapText="1"/>
    </xf>
    <xf numFmtId="1" fontId="13" fillId="0" borderId="19" xfId="277" applyNumberFormat="1" applyFont="1" applyBorder="1" applyAlignment="1">
      <alignment vertical="center" wrapText="1"/>
    </xf>
    <xf numFmtId="0" fontId="13" fillId="6" borderId="5" xfId="277" applyFont="1" applyFill="1" applyBorder="1" applyAlignment="1">
      <alignment vertical="center" wrapText="1"/>
    </xf>
    <xf numFmtId="167" fontId="13" fillId="0" borderId="1" xfId="277" applyNumberFormat="1" applyFont="1" applyBorder="1" applyAlignment="1">
      <alignment vertical="center" wrapText="1"/>
    </xf>
    <xf numFmtId="165" fontId="13" fillId="0" borderId="17" xfId="277" applyNumberFormat="1" applyFont="1" applyBorder="1" applyAlignment="1">
      <alignment vertical="center" wrapText="1"/>
    </xf>
    <xf numFmtId="10" fontId="13" fillId="0" borderId="19" xfId="277" applyNumberFormat="1" applyFont="1" applyBorder="1" applyAlignment="1">
      <alignment vertical="center" wrapText="1"/>
    </xf>
    <xf numFmtId="167" fontId="13" fillId="0" borderId="19" xfId="277" applyNumberFormat="1" applyFont="1" applyBorder="1" applyAlignment="1">
      <alignment vertical="center" wrapText="1"/>
    </xf>
    <xf numFmtId="0" fontId="12" fillId="0" borderId="26" xfId="277" applyFont="1" applyBorder="1" applyAlignment="1">
      <alignment vertical="center" wrapText="1"/>
    </xf>
    <xf numFmtId="0" fontId="13" fillId="0" borderId="14" xfId="277" applyFont="1" applyBorder="1" applyAlignment="1">
      <alignment horizontal="center" vertical="center" wrapText="1"/>
    </xf>
    <xf numFmtId="164" fontId="13" fillId="0" borderId="10" xfId="277" applyNumberFormat="1" applyFont="1" applyBorder="1" applyAlignment="1">
      <alignment vertical="center" wrapText="1"/>
    </xf>
    <xf numFmtId="165" fontId="13" fillId="0" borderId="15" xfId="277" applyNumberFormat="1" applyFont="1" applyBorder="1" applyAlignment="1">
      <alignment vertical="center" wrapText="1"/>
    </xf>
    <xf numFmtId="165" fontId="13" fillId="0" borderId="16" xfId="277" applyNumberFormat="1" applyFont="1" applyBorder="1" applyAlignment="1">
      <alignment vertical="center" wrapText="1"/>
    </xf>
    <xf numFmtId="165" fontId="13" fillId="4" borderId="19" xfId="277" applyNumberFormat="1" applyFont="1" applyFill="1" applyBorder="1" applyAlignment="1">
      <alignment vertical="center" wrapText="1"/>
    </xf>
    <xf numFmtId="165" fontId="13" fillId="7" borderId="19" xfId="277" applyNumberFormat="1" applyFont="1" applyFill="1" applyBorder="1" applyAlignment="1">
      <alignment vertical="center" wrapText="1"/>
    </xf>
    <xf numFmtId="165" fontId="13" fillId="4" borderId="18" xfId="277" applyNumberFormat="1" applyFont="1" applyFill="1" applyBorder="1" applyAlignment="1">
      <alignment vertical="center" wrapText="1"/>
    </xf>
    <xf numFmtId="164" fontId="13" fillId="4" borderId="19" xfId="277" applyNumberFormat="1" applyFont="1" applyFill="1" applyBorder="1" applyAlignment="1">
      <alignment vertical="center" wrapText="1"/>
    </xf>
    <xf numFmtId="164" fontId="13" fillId="4" borderId="18" xfId="277" applyNumberFormat="1" applyFont="1" applyFill="1" applyBorder="1" applyAlignment="1">
      <alignment vertical="center" wrapText="1"/>
    </xf>
    <xf numFmtId="165" fontId="11" fillId="7" borderId="19" xfId="277" applyNumberFormat="1" applyFont="1" applyFill="1" applyBorder="1" applyAlignment="1">
      <alignment vertical="center" wrapText="1"/>
    </xf>
    <xf numFmtId="165" fontId="7" fillId="0" borderId="0" xfId="0" applyNumberFormat="1" applyFont="1" applyFill="1" applyBorder="1"/>
    <xf numFmtId="165" fontId="6" fillId="0" borderId="1" xfId="0" applyNumberFormat="1" applyFont="1" applyBorder="1" applyAlignment="1">
      <alignment horizontal="left"/>
    </xf>
    <xf numFmtId="170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6" fontId="6" fillId="0" borderId="0" xfId="0" applyNumberFormat="1" applyFont="1"/>
    <xf numFmtId="165" fontId="7" fillId="0" borderId="0" xfId="0" applyNumberFormat="1" applyFont="1" applyFill="1"/>
    <xf numFmtId="6" fontId="6" fillId="0" borderId="0" xfId="0" applyNumberFormat="1" applyFont="1" applyAlignment="1">
      <alignment horizontal="right"/>
    </xf>
    <xf numFmtId="0" fontId="7" fillId="0" borderId="0" xfId="0" applyFont="1" applyFill="1"/>
    <xf numFmtId="0" fontId="6" fillId="0" borderId="0" xfId="0" applyFont="1" applyFill="1"/>
    <xf numFmtId="10" fontId="6" fillId="0" borderId="0" xfId="0" applyNumberFormat="1" applyFont="1" applyAlignment="1">
      <alignment horizontal="right"/>
    </xf>
    <xf numFmtId="165" fontId="16" fillId="4" borderId="0" xfId="0" applyNumberFormat="1" applyFont="1" applyFill="1"/>
    <xf numFmtId="0" fontId="16" fillId="0" borderId="0" xfId="0" applyFont="1"/>
    <xf numFmtId="1" fontId="16" fillId="0" borderId="0" xfId="0" applyNumberFormat="1" applyFont="1" applyAlignment="1">
      <alignment horizontal="left"/>
    </xf>
    <xf numFmtId="1" fontId="18" fillId="0" borderId="0" xfId="0" applyNumberFormat="1" applyFont="1" applyAlignment="1">
      <alignment horizontal="left"/>
    </xf>
    <xf numFmtId="0" fontId="21" fillId="0" borderId="0" xfId="0" applyFont="1"/>
    <xf numFmtId="0" fontId="21" fillId="3" borderId="0" xfId="0" applyFont="1" applyFill="1"/>
    <xf numFmtId="0" fontId="22" fillId="0" borderId="0" xfId="0" applyFont="1"/>
    <xf numFmtId="0" fontId="21" fillId="2" borderId="0" xfId="0" applyFont="1" applyFill="1"/>
    <xf numFmtId="0" fontId="24" fillId="0" borderId="0" xfId="278" applyFont="1"/>
    <xf numFmtId="0" fontId="22" fillId="2" borderId="0" xfId="0" applyFont="1" applyFill="1"/>
    <xf numFmtId="0" fontId="21" fillId="0" borderId="0" xfId="0" applyFont="1" applyFill="1"/>
    <xf numFmtId="0" fontId="22" fillId="0" borderId="0" xfId="0" applyFont="1" applyFill="1"/>
    <xf numFmtId="0" fontId="22" fillId="3" borderId="0" xfId="0" applyFont="1" applyFill="1"/>
    <xf numFmtId="0" fontId="21" fillId="5" borderId="0" xfId="0" applyFont="1" applyFill="1"/>
    <xf numFmtId="0" fontId="22" fillId="5" borderId="0" xfId="0" applyFont="1" applyFill="1"/>
    <xf numFmtId="0" fontId="21" fillId="4" borderId="0" xfId="0" applyFont="1" applyFill="1"/>
    <xf numFmtId="0" fontId="22" fillId="4" borderId="0" xfId="0" applyFont="1" applyFill="1"/>
    <xf numFmtId="0" fontId="25" fillId="0" borderId="0" xfId="0" applyFont="1" applyAlignment="1">
      <alignment horizontal="right"/>
    </xf>
    <xf numFmtId="0" fontId="16" fillId="3" borderId="0" xfId="0" applyFont="1" applyFill="1"/>
    <xf numFmtId="0" fontId="25" fillId="0" borderId="0" xfId="0" applyFont="1"/>
    <xf numFmtId="165" fontId="16" fillId="3" borderId="0" xfId="0" applyNumberFormat="1" applyFont="1" applyFill="1"/>
    <xf numFmtId="165" fontId="25" fillId="0" borderId="2" xfId="0" applyNumberFormat="1" applyFont="1" applyBorder="1"/>
    <xf numFmtId="165" fontId="25" fillId="0" borderId="0" xfId="0" applyNumberFormat="1" applyFont="1" applyBorder="1"/>
    <xf numFmtId="165" fontId="16" fillId="0" borderId="0" xfId="0" applyNumberFormat="1" applyFont="1"/>
    <xf numFmtId="0" fontId="16" fillId="2" borderId="0" xfId="0" applyFont="1" applyFill="1" applyAlignment="1">
      <alignment horizontal="right"/>
    </xf>
    <xf numFmtId="0" fontId="16" fillId="2" borderId="0" xfId="0" applyFont="1" applyFill="1"/>
    <xf numFmtId="165" fontId="16" fillId="2" borderId="0" xfId="0" applyNumberFormat="1" applyFont="1" applyFill="1"/>
    <xf numFmtId="165" fontId="16" fillId="3" borderId="0" xfId="0" applyNumberFormat="1" applyFont="1" applyFill="1" applyBorder="1"/>
    <xf numFmtId="165" fontId="25" fillId="0" borderId="0" xfId="0" applyNumberFormat="1" applyFont="1" applyAlignment="1">
      <alignment horizontal="right"/>
    </xf>
    <xf numFmtId="165" fontId="25" fillId="0" borderId="2" xfId="0" applyNumberFormat="1" applyFont="1" applyBorder="1" applyAlignment="1">
      <alignment horizontal="right"/>
    </xf>
    <xf numFmtId="165" fontId="25" fillId="0" borderId="0" xfId="0" applyNumberFormat="1" applyFont="1" applyFill="1" applyBorder="1"/>
    <xf numFmtId="0" fontId="25" fillId="0" borderId="0" xfId="0" applyFont="1" applyBorder="1"/>
    <xf numFmtId="0" fontId="25" fillId="2" borderId="0" xfId="0" applyFont="1" applyFill="1"/>
    <xf numFmtId="0" fontId="16" fillId="0" borderId="0" xfId="0" applyFont="1" applyFill="1"/>
    <xf numFmtId="0" fontId="25" fillId="0" borderId="0" xfId="0" applyFont="1" applyFill="1"/>
    <xf numFmtId="0" fontId="16" fillId="0" borderId="0" xfId="0" applyFont="1" applyFill="1" applyAlignment="1">
      <alignment horizontal="right"/>
    </xf>
    <xf numFmtId="165" fontId="16" fillId="0" borderId="0" xfId="0" applyNumberFormat="1" applyFont="1" applyFill="1"/>
    <xf numFmtId="0" fontId="25" fillId="3" borderId="0" xfId="0" applyFont="1" applyFill="1"/>
    <xf numFmtId="0" fontId="25" fillId="5" borderId="0" xfId="0" applyFont="1" applyFill="1"/>
    <xf numFmtId="165" fontId="16" fillId="5" borderId="0" xfId="0" applyNumberFormat="1" applyFont="1" applyFill="1" applyBorder="1"/>
    <xf numFmtId="165" fontId="16" fillId="5" borderId="0" xfId="0" applyNumberFormat="1" applyFont="1" applyFill="1"/>
    <xf numFmtId="0" fontId="16" fillId="4" borderId="0" xfId="0" applyFont="1" applyFill="1"/>
    <xf numFmtId="0" fontId="25" fillId="4" borderId="0" xfId="0" applyFont="1" applyFill="1"/>
    <xf numFmtId="0" fontId="16" fillId="4" borderId="0" xfId="0" applyFont="1" applyFill="1" applyAlignment="1">
      <alignment horizontal="right"/>
    </xf>
    <xf numFmtId="0" fontId="16" fillId="4" borderId="2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8" borderId="1" xfId="0" applyFont="1" applyFill="1" applyBorder="1"/>
    <xf numFmtId="168" fontId="10" fillId="16" borderId="1" xfId="0" applyNumberFormat="1" applyFont="1" applyFill="1" applyBorder="1"/>
    <xf numFmtId="0" fontId="25" fillId="0" borderId="0" xfId="279" applyFont="1"/>
    <xf numFmtId="8" fontId="16" fillId="0" borderId="1" xfId="279" applyNumberFormat="1" applyFont="1" applyFill="1" applyBorder="1"/>
    <xf numFmtId="0" fontId="20" fillId="17" borderId="36" xfId="279" applyFont="1" applyFill="1" applyBorder="1" applyAlignment="1">
      <alignment vertical="center" wrapText="1"/>
    </xf>
    <xf numFmtId="0" fontId="25" fillId="0" borderId="11" xfId="279" applyFont="1" applyFill="1" applyBorder="1"/>
    <xf numFmtId="4" fontId="25" fillId="0" borderId="12" xfId="279" applyNumberFormat="1" applyFont="1" applyFill="1" applyBorder="1"/>
    <xf numFmtId="14" fontId="25" fillId="0" borderId="0" xfId="279" applyNumberFormat="1" applyFont="1" applyAlignment="1">
      <alignment horizontal="right"/>
    </xf>
    <xf numFmtId="167" fontId="16" fillId="0" borderId="1" xfId="280" applyNumberFormat="1" applyFont="1" applyFill="1" applyBorder="1"/>
    <xf numFmtId="0" fontId="25" fillId="0" borderId="32" xfId="279" applyFont="1" applyFill="1" applyBorder="1"/>
    <xf numFmtId="4" fontId="25" fillId="0" borderId="33" xfId="279" applyNumberFormat="1" applyFont="1" applyFill="1" applyBorder="1"/>
    <xf numFmtId="0" fontId="25" fillId="0" borderId="0" xfId="279" applyFont="1" applyAlignment="1">
      <alignment horizontal="right"/>
    </xf>
    <xf numFmtId="0" fontId="25" fillId="0" borderId="0" xfId="279" applyFont="1" applyBorder="1"/>
    <xf numFmtId="4" fontId="25" fillId="0" borderId="0" xfId="279" applyNumberFormat="1" applyFont="1" applyFill="1" applyBorder="1"/>
    <xf numFmtId="0" fontId="25" fillId="0" borderId="0" xfId="279" applyFont="1" applyAlignment="1">
      <alignment horizontal="center"/>
    </xf>
    <xf numFmtId="171" fontId="26" fillId="0" borderId="0" xfId="279" applyNumberFormat="1" applyFont="1" applyBorder="1" applyAlignment="1">
      <alignment horizontal="center" vertical="center"/>
    </xf>
    <xf numFmtId="0" fontId="25" fillId="0" borderId="0" xfId="279" applyFont="1" applyBorder="1" applyAlignment="1">
      <alignment horizontal="center"/>
    </xf>
    <xf numFmtId="8" fontId="25" fillId="0" borderId="0" xfId="279" applyNumberFormat="1" applyFont="1" applyFill="1" applyBorder="1" applyAlignment="1">
      <alignment horizontal="right"/>
    </xf>
    <xf numFmtId="8" fontId="25" fillId="0" borderId="0" xfId="279" applyNumberFormat="1" applyFont="1"/>
    <xf numFmtId="0" fontId="20" fillId="17" borderId="39" xfId="279" applyFont="1" applyFill="1" applyBorder="1" applyAlignment="1">
      <alignment horizontal="center" vertical="center" wrapText="1"/>
    </xf>
    <xf numFmtId="0" fontId="20" fillId="17" borderId="40" xfId="279" applyFont="1" applyFill="1" applyBorder="1" applyAlignment="1">
      <alignment horizontal="center" vertical="center" wrapText="1"/>
    </xf>
    <xf numFmtId="0" fontId="20" fillId="17" borderId="41" xfId="279" applyFont="1" applyFill="1" applyBorder="1" applyAlignment="1">
      <alignment horizontal="center" vertical="center" wrapText="1"/>
    </xf>
    <xf numFmtId="0" fontId="27" fillId="17" borderId="40" xfId="279" applyFont="1" applyFill="1" applyBorder="1" applyAlignment="1">
      <alignment horizontal="center" vertical="center" wrapText="1"/>
    </xf>
    <xf numFmtId="8" fontId="25" fillId="7" borderId="45" xfId="279" applyNumberFormat="1" applyFont="1" applyFill="1" applyBorder="1"/>
    <xf numFmtId="8" fontId="25" fillId="7" borderId="43" xfId="279" applyNumberFormat="1" applyFont="1" applyFill="1" applyBorder="1" applyProtection="1">
      <protection locked="0"/>
    </xf>
    <xf numFmtId="8" fontId="25" fillId="0" borderId="46" xfId="279" applyNumberFormat="1" applyFont="1" applyBorder="1"/>
    <xf numFmtId="8" fontId="25" fillId="0" borderId="47" xfId="279" applyNumberFormat="1" applyFont="1" applyBorder="1"/>
    <xf numFmtId="8" fontId="16" fillId="0" borderId="46" xfId="279" applyNumberFormat="1" applyFont="1" applyBorder="1"/>
    <xf numFmtId="8" fontId="25" fillId="7" borderId="50" xfId="279" applyNumberFormat="1" applyFont="1" applyFill="1" applyBorder="1" applyProtection="1">
      <protection locked="0"/>
    </xf>
    <xf numFmtId="8" fontId="25" fillId="0" borderId="50" xfId="279" applyNumberFormat="1" applyFont="1" applyBorder="1"/>
    <xf numFmtId="8" fontId="25" fillId="0" borderId="51" xfId="279" applyNumberFormat="1" applyFont="1" applyBorder="1"/>
    <xf numFmtId="8" fontId="16" fillId="0" borderId="51" xfId="279" applyNumberFormat="1" applyFont="1" applyBorder="1"/>
    <xf numFmtId="0" fontId="25" fillId="0" borderId="0" xfId="279" applyFont="1" applyFill="1"/>
    <xf numFmtId="8" fontId="25" fillId="0" borderId="52" xfId="279" applyNumberFormat="1" applyFont="1" applyBorder="1"/>
    <xf numFmtId="8" fontId="25" fillId="0" borderId="53" xfId="279" applyNumberFormat="1" applyFont="1" applyBorder="1"/>
    <xf numFmtId="8" fontId="25" fillId="0" borderId="54" xfId="279" applyNumberFormat="1" applyFont="1" applyBorder="1"/>
    <xf numFmtId="8" fontId="16" fillId="0" borderId="53" xfId="279" applyNumberFormat="1" applyFont="1" applyBorder="1"/>
    <xf numFmtId="8" fontId="25" fillId="0" borderId="53" xfId="279" applyNumberFormat="1" applyFont="1" applyFill="1" applyBorder="1"/>
    <xf numFmtId="0" fontId="16" fillId="17" borderId="37" xfId="279" applyFont="1" applyFill="1" applyBorder="1"/>
    <xf numFmtId="0" fontId="16" fillId="17" borderId="57" xfId="279" applyFont="1" applyFill="1" applyBorder="1"/>
    <xf numFmtId="8" fontId="16" fillId="17" borderId="57" xfId="279" applyNumberFormat="1" applyFont="1" applyFill="1" applyBorder="1"/>
    <xf numFmtId="8" fontId="16" fillId="17" borderId="39" xfId="279" applyNumberFormat="1" applyFont="1" applyFill="1" applyBorder="1"/>
    <xf numFmtId="8" fontId="16" fillId="17" borderId="40" xfId="279" applyNumberFormat="1" applyFont="1" applyFill="1" applyBorder="1"/>
    <xf numFmtId="8" fontId="25" fillId="17" borderId="41" xfId="279" applyNumberFormat="1" applyFont="1" applyFill="1" applyBorder="1"/>
    <xf numFmtId="0" fontId="25" fillId="0" borderId="58" xfId="279" applyFont="1" applyBorder="1"/>
    <xf numFmtId="8" fontId="25" fillId="0" borderId="58" xfId="279" applyNumberFormat="1" applyFont="1" applyBorder="1"/>
    <xf numFmtId="164" fontId="25" fillId="0" borderId="0" xfId="279" applyNumberFormat="1" applyFont="1"/>
    <xf numFmtId="0" fontId="16" fillId="0" borderId="59" xfId="279" applyFont="1" applyBorder="1"/>
    <xf numFmtId="0" fontId="25" fillId="0" borderId="60" xfId="279" applyFont="1" applyBorder="1"/>
    <xf numFmtId="8" fontId="25" fillId="0" borderId="29" xfId="279" applyNumberFormat="1" applyFont="1" applyBorder="1"/>
    <xf numFmtId="0" fontId="16" fillId="17" borderId="61" xfId="279" applyFont="1" applyFill="1" applyBorder="1"/>
    <xf numFmtId="0" fontId="16" fillId="17" borderId="35" xfId="279" applyFont="1" applyFill="1" applyBorder="1"/>
    <xf numFmtId="8" fontId="16" fillId="17" borderId="23" xfId="279" applyNumberFormat="1" applyFont="1" applyFill="1" applyBorder="1"/>
    <xf numFmtId="8" fontId="16" fillId="17" borderId="24" xfId="279" applyNumberFormat="1" applyFont="1" applyFill="1" applyBorder="1"/>
    <xf numFmtId="8" fontId="16" fillId="17" borderId="22" xfId="279" applyNumberFormat="1" applyFont="1" applyFill="1" applyBorder="1"/>
    <xf numFmtId="14" fontId="25" fillId="0" borderId="0" xfId="279" applyNumberFormat="1" applyFont="1" applyBorder="1"/>
    <xf numFmtId="0" fontId="25" fillId="13" borderId="0" xfId="279" applyFont="1" applyFill="1" applyBorder="1"/>
    <xf numFmtId="0" fontId="20" fillId="2" borderId="4" xfId="279" applyFont="1" applyFill="1" applyBorder="1" applyAlignment="1"/>
    <xf numFmtId="0" fontId="20" fillId="2" borderId="1" xfId="279" applyFont="1" applyFill="1" applyBorder="1" applyAlignment="1">
      <alignment horizontal="center"/>
    </xf>
    <xf numFmtId="0" fontId="25" fillId="7" borderId="62" xfId="0" applyFont="1" applyFill="1" applyBorder="1" applyAlignment="1"/>
    <xf numFmtId="10" fontId="25" fillId="7" borderId="50" xfId="279" applyNumberFormat="1" applyFont="1" applyFill="1" applyBorder="1"/>
    <xf numFmtId="0" fontId="25" fillId="7" borderId="50" xfId="279" applyFont="1" applyFill="1" applyBorder="1"/>
    <xf numFmtId="8" fontId="25" fillId="7" borderId="50" xfId="279" applyNumberFormat="1" applyFont="1" applyFill="1" applyBorder="1"/>
    <xf numFmtId="8" fontId="25" fillId="0" borderId="50" xfId="279" applyNumberFormat="1" applyFont="1" applyFill="1" applyBorder="1" applyAlignment="1">
      <alignment horizontal="right"/>
    </xf>
    <xf numFmtId="171" fontId="25" fillId="7" borderId="50" xfId="279" applyNumberFormat="1" applyFont="1" applyFill="1" applyBorder="1"/>
    <xf numFmtId="166" fontId="25" fillId="0" borderId="44" xfId="279" applyNumberFormat="1" applyFont="1" applyBorder="1"/>
    <xf numFmtId="8" fontId="25" fillId="0" borderId="63" xfId="279" applyNumberFormat="1" applyFont="1" applyBorder="1"/>
    <xf numFmtId="0" fontId="25" fillId="0" borderId="0" xfId="279" applyFont="1" applyFill="1" applyBorder="1"/>
    <xf numFmtId="0" fontId="25" fillId="7" borderId="64" xfId="279" applyFont="1" applyFill="1" applyBorder="1" applyAlignment="1"/>
    <xf numFmtId="10" fontId="25" fillId="7" borderId="52" xfId="279" applyNumberFormat="1" applyFont="1" applyFill="1" applyBorder="1"/>
    <xf numFmtId="8" fontId="25" fillId="7" borderId="52" xfId="279" applyNumberFormat="1" applyFont="1" applyFill="1" applyBorder="1"/>
    <xf numFmtId="8" fontId="25" fillId="0" borderId="52" xfId="279" applyNumberFormat="1" applyFont="1" applyFill="1" applyBorder="1" applyAlignment="1">
      <alignment horizontal="right"/>
    </xf>
    <xf numFmtId="171" fontId="25" fillId="7" borderId="52" xfId="279" applyNumberFormat="1" applyFont="1" applyFill="1" applyBorder="1"/>
    <xf numFmtId="166" fontId="25" fillId="0" borderId="52" xfId="279" applyNumberFormat="1" applyFont="1" applyBorder="1"/>
    <xf numFmtId="8" fontId="25" fillId="0" borderId="49" xfId="279" applyNumberFormat="1" applyFont="1" applyBorder="1"/>
    <xf numFmtId="0" fontId="25" fillId="7" borderId="65" xfId="279" applyFont="1" applyFill="1" applyBorder="1" applyAlignment="1"/>
    <xf numFmtId="10" fontId="25" fillId="7" borderId="66" xfId="279" applyNumberFormat="1" applyFont="1" applyFill="1" applyBorder="1"/>
    <xf numFmtId="8" fontId="25" fillId="7" borderId="66" xfId="279" applyNumberFormat="1" applyFont="1" applyFill="1" applyBorder="1"/>
    <xf numFmtId="8" fontId="25" fillId="0" borderId="66" xfId="279" applyNumberFormat="1" applyFont="1" applyFill="1" applyBorder="1" applyAlignment="1">
      <alignment horizontal="right"/>
    </xf>
    <xf numFmtId="171" fontId="25" fillId="7" borderId="66" xfId="279" applyNumberFormat="1" applyFont="1" applyFill="1" applyBorder="1"/>
    <xf numFmtId="166" fontId="25" fillId="0" borderId="66" xfId="279" applyNumberFormat="1" applyFont="1" applyBorder="1"/>
    <xf numFmtId="8" fontId="25" fillId="0" borderId="67" xfId="279" applyNumberFormat="1" applyFont="1" applyBorder="1"/>
    <xf numFmtId="0" fontId="25" fillId="13" borderId="4" xfId="279" applyFont="1" applyFill="1" applyBorder="1"/>
    <xf numFmtId="0" fontId="25" fillId="13" borderId="5" xfId="279" applyFont="1" applyFill="1" applyBorder="1"/>
    <xf numFmtId="0" fontId="25" fillId="13" borderId="5" xfId="279" applyFont="1" applyFill="1" applyBorder="1" applyAlignment="1">
      <alignment horizontal="right"/>
    </xf>
    <xf numFmtId="164" fontId="25" fillId="13" borderId="3" xfId="279" applyNumberFormat="1" applyFont="1" applyFill="1" applyBorder="1"/>
    <xf numFmtId="0" fontId="20" fillId="2" borderId="1" xfId="279" applyFont="1" applyFill="1" applyBorder="1" applyAlignment="1"/>
    <xf numFmtId="0" fontId="25" fillId="7" borderId="68" xfId="279" applyFont="1" applyFill="1" applyBorder="1" applyAlignment="1"/>
    <xf numFmtId="10" fontId="25" fillId="7" borderId="44" xfId="279" applyNumberFormat="1" applyFont="1" applyFill="1" applyBorder="1"/>
    <xf numFmtId="171" fontId="25" fillId="7" borderId="50" xfId="279" applyNumberFormat="1" applyFont="1" applyFill="1" applyBorder="1" applyAlignment="1">
      <alignment horizontal="center"/>
    </xf>
    <xf numFmtId="166" fontId="25" fillId="0" borderId="50" xfId="279" applyNumberFormat="1" applyFont="1" applyBorder="1"/>
    <xf numFmtId="0" fontId="25" fillId="7" borderId="48" xfId="279" applyFont="1" applyFill="1" applyBorder="1" applyAlignment="1"/>
    <xf numFmtId="171" fontId="25" fillId="7" borderId="52" xfId="279" applyNumberFormat="1" applyFont="1" applyFill="1" applyBorder="1" applyAlignment="1">
      <alignment horizontal="center"/>
    </xf>
    <xf numFmtId="0" fontId="25" fillId="7" borderId="69" xfId="279" applyFont="1" applyFill="1" applyBorder="1" applyAlignment="1"/>
    <xf numFmtId="171" fontId="25" fillId="7" borderId="66" xfId="279" applyNumberFormat="1" applyFont="1" applyFill="1" applyBorder="1" applyAlignment="1">
      <alignment horizontal="center"/>
    </xf>
    <xf numFmtId="8" fontId="25" fillId="0" borderId="66" xfId="279" applyNumberFormat="1" applyFont="1" applyBorder="1"/>
    <xf numFmtId="164" fontId="25" fillId="0" borderId="0" xfId="281" applyNumberFormat="1" applyFont="1" applyBorder="1"/>
    <xf numFmtId="0" fontId="25" fillId="13" borderId="26" xfId="279" applyFont="1" applyFill="1" applyBorder="1"/>
    <xf numFmtId="0" fontId="25" fillId="13" borderId="2" xfId="279" applyFont="1" applyFill="1" applyBorder="1"/>
    <xf numFmtId="164" fontId="25" fillId="13" borderId="2" xfId="279" applyNumberFormat="1" applyFont="1" applyFill="1" applyBorder="1"/>
    <xf numFmtId="1" fontId="25" fillId="13" borderId="33" xfId="279" applyNumberFormat="1" applyFont="1" applyFill="1" applyBorder="1" applyAlignment="1">
      <alignment horizontal="right"/>
    </xf>
    <xf numFmtId="8" fontId="25" fillId="13" borderId="10" xfId="279" applyNumberFormat="1" applyFont="1" applyFill="1" applyBorder="1"/>
    <xf numFmtId="164" fontId="25" fillId="0" borderId="0" xfId="279" applyNumberFormat="1" applyFont="1" applyFill="1" applyBorder="1"/>
    <xf numFmtId="1" fontId="25" fillId="0" borderId="0" xfId="279" applyNumberFormat="1" applyFont="1" applyFill="1" applyBorder="1" applyAlignment="1">
      <alignment horizontal="right"/>
    </xf>
    <xf numFmtId="8" fontId="25" fillId="0" borderId="0" xfId="279" applyNumberFormat="1" applyFont="1" applyFill="1" applyBorder="1"/>
    <xf numFmtId="0" fontId="25" fillId="13" borderId="3" xfId="279" applyFont="1" applyFill="1" applyBorder="1"/>
    <xf numFmtId="0" fontId="20" fillId="2" borderId="20" xfId="279" applyFont="1" applyFill="1" applyBorder="1" applyAlignment="1"/>
    <xf numFmtId="10" fontId="25" fillId="7" borderId="50" xfId="279" applyNumberFormat="1" applyFont="1" applyFill="1" applyBorder="1" applyAlignment="1">
      <alignment horizontal="center"/>
    </xf>
    <xf numFmtId="8" fontId="25" fillId="0" borderId="70" xfId="279" applyNumberFormat="1" applyFont="1" applyBorder="1"/>
    <xf numFmtId="10" fontId="25" fillId="7" borderId="52" xfId="279" applyNumberFormat="1" applyFont="1" applyFill="1" applyBorder="1" applyAlignment="1">
      <alignment horizontal="center"/>
    </xf>
    <xf numFmtId="0" fontId="25" fillId="7" borderId="48" xfId="279" applyFont="1" applyFill="1" applyBorder="1"/>
    <xf numFmtId="10" fontId="25" fillId="7" borderId="66" xfId="279" applyNumberFormat="1" applyFont="1" applyFill="1" applyBorder="1" applyAlignment="1">
      <alignment horizontal="center"/>
    </xf>
    <xf numFmtId="0" fontId="25" fillId="0" borderId="0" xfId="279" applyFont="1" applyBorder="1" applyAlignment="1">
      <alignment horizontal="left"/>
    </xf>
    <xf numFmtId="8" fontId="25" fillId="0" borderId="0" xfId="279" applyNumberFormat="1" applyFont="1" applyBorder="1"/>
    <xf numFmtId="0" fontId="25" fillId="13" borderId="20" xfId="279" applyFont="1" applyFill="1" applyBorder="1"/>
    <xf numFmtId="164" fontId="25" fillId="13" borderId="5" xfId="279" applyNumberFormat="1" applyFont="1" applyFill="1" applyBorder="1"/>
    <xf numFmtId="1" fontId="25" fillId="13" borderId="3" xfId="279" applyNumberFormat="1" applyFont="1" applyFill="1" applyBorder="1" applyAlignment="1">
      <alignment horizontal="right"/>
    </xf>
    <xf numFmtId="8" fontId="25" fillId="13" borderId="1" xfId="279" applyNumberFormat="1" applyFont="1" applyFill="1" applyBorder="1"/>
    <xf numFmtId="10" fontId="25" fillId="0" borderId="0" xfId="279" applyNumberFormat="1" applyFont="1" applyBorder="1"/>
    <xf numFmtId="1" fontId="25" fillId="0" borderId="0" xfId="279" applyNumberFormat="1" applyFont="1"/>
    <xf numFmtId="49" fontId="25" fillId="7" borderId="50" xfId="279" applyNumberFormat="1" applyFont="1" applyFill="1" applyBorder="1" applyAlignment="1">
      <alignment horizontal="center"/>
    </xf>
    <xf numFmtId="8" fontId="25" fillId="7" borderId="44" xfId="279" applyNumberFormat="1" applyFont="1" applyFill="1" applyBorder="1"/>
    <xf numFmtId="49" fontId="25" fillId="7" borderId="50" xfId="279" applyNumberFormat="1" applyFont="1" applyFill="1" applyBorder="1" applyAlignment="1">
      <alignment horizontal="left"/>
    </xf>
    <xf numFmtId="49" fontId="25" fillId="7" borderId="52" xfId="279" applyNumberFormat="1" applyFont="1" applyFill="1" applyBorder="1" applyAlignment="1">
      <alignment horizontal="left"/>
    </xf>
    <xf numFmtId="49" fontId="25" fillId="7" borderId="66" xfId="279" applyNumberFormat="1" applyFont="1" applyFill="1" applyBorder="1" applyAlignment="1">
      <alignment horizontal="left"/>
    </xf>
    <xf numFmtId="0" fontId="16" fillId="0" borderId="0" xfId="279" applyFont="1" applyAlignment="1">
      <alignment horizontal="left" vertical="center"/>
    </xf>
    <xf numFmtId="171" fontId="16" fillId="0" borderId="0" xfId="279" applyNumberFormat="1" applyFont="1" applyAlignment="1">
      <alignment horizontal="left"/>
    </xf>
    <xf numFmtId="8" fontId="16" fillId="7" borderId="1" xfId="279" applyNumberFormat="1" applyFont="1" applyFill="1" applyBorder="1" applyAlignment="1">
      <alignment horizontal="right"/>
    </xf>
    <xf numFmtId="14" fontId="16" fillId="7" borderId="1" xfId="279" applyNumberFormat="1" applyFont="1" applyFill="1" applyBorder="1" applyAlignment="1">
      <alignment horizontal="right"/>
    </xf>
    <xf numFmtId="10" fontId="25" fillId="0" borderId="0" xfId="279" applyNumberFormat="1" applyFont="1"/>
    <xf numFmtId="0" fontId="11" fillId="0" borderId="77" xfId="277" applyFont="1" applyBorder="1" applyAlignment="1">
      <alignment horizontal="center" vertical="center" wrapText="1"/>
    </xf>
    <xf numFmtId="0" fontId="11" fillId="0" borderId="9" xfId="277" applyFont="1" applyBorder="1" applyAlignment="1">
      <alignment horizontal="center" vertical="center" wrapText="1"/>
    </xf>
    <xf numFmtId="0" fontId="11" fillId="0" borderId="78" xfId="277" applyFont="1" applyBorder="1" applyAlignment="1">
      <alignment horizontal="center" vertical="center" wrapText="1"/>
    </xf>
    <xf numFmtId="0" fontId="11" fillId="9" borderId="4" xfId="277" applyFont="1" applyFill="1" applyBorder="1" applyAlignment="1">
      <alignment horizontal="center" vertical="center" wrapText="1"/>
    </xf>
    <xf numFmtId="0" fontId="11" fillId="9" borderId="5" xfId="277" applyFont="1" applyFill="1" applyBorder="1" applyAlignment="1">
      <alignment horizontal="center" vertical="center" wrapText="1"/>
    </xf>
    <xf numFmtId="0" fontId="11" fillId="9" borderId="5" xfId="277" applyFont="1" applyFill="1" applyBorder="1" applyAlignment="1">
      <alignment horizontal="center" wrapText="1"/>
    </xf>
    <xf numFmtId="0" fontId="11" fillId="9" borderId="3" xfId="277" applyFont="1" applyFill="1" applyBorder="1" applyAlignment="1">
      <alignment horizontal="center" vertical="center" wrapText="1"/>
    </xf>
    <xf numFmtId="165" fontId="13" fillId="0" borderId="79" xfId="277" applyNumberFormat="1" applyFont="1" applyBorder="1" applyAlignment="1">
      <alignment vertical="center" wrapText="1"/>
    </xf>
    <xf numFmtId="165" fontId="13" fillId="9" borderId="5" xfId="277" applyNumberFormat="1" applyFont="1" applyFill="1" applyBorder="1" applyAlignment="1">
      <alignment vertical="center" wrapText="1"/>
    </xf>
    <xf numFmtId="165" fontId="13" fillId="9" borderId="3" xfId="277" applyNumberFormat="1" applyFont="1" applyFill="1" applyBorder="1" applyAlignment="1">
      <alignment vertical="center" wrapText="1"/>
    </xf>
    <xf numFmtId="0" fontId="16" fillId="9" borderId="1" xfId="0" applyFont="1" applyFill="1" applyBorder="1" applyAlignment="1">
      <alignment horizontal="center"/>
    </xf>
    <xf numFmtId="0" fontId="25" fillId="0" borderId="48" xfId="279" applyFont="1" applyBorder="1" applyAlignment="1">
      <alignment horizontal="left"/>
    </xf>
    <xf numFmtId="0" fontId="25" fillId="0" borderId="49" xfId="279" applyFont="1" applyBorder="1" applyAlignment="1">
      <alignment horizontal="left"/>
    </xf>
    <xf numFmtId="166" fontId="19" fillId="0" borderId="0" xfId="0" applyNumberFormat="1" applyFont="1" applyAlignment="1">
      <alignment horizontal="right"/>
    </xf>
    <xf numFmtId="0" fontId="17" fillId="0" borderId="0" xfId="0" applyFont="1"/>
    <xf numFmtId="0" fontId="17" fillId="9" borderId="1" xfId="0" applyFont="1" applyFill="1" applyBorder="1"/>
    <xf numFmtId="0" fontId="20" fillId="0" borderId="0" xfId="0" applyFont="1" applyFill="1" applyBorder="1" applyProtection="1"/>
    <xf numFmtId="164" fontId="25" fillId="0" borderId="0" xfId="0" applyNumberFormat="1" applyFont="1"/>
    <xf numFmtId="10" fontId="25" fillId="0" borderId="0" xfId="0" applyNumberFormat="1" applyFont="1" applyAlignment="1">
      <alignment horizontal="center"/>
    </xf>
    <xf numFmtId="166" fontId="25" fillId="9" borderId="0" xfId="0" applyNumberFormat="1" applyFont="1" applyFill="1" applyAlignment="1">
      <alignment horizontal="center"/>
    </xf>
    <xf numFmtId="165" fontId="25" fillId="0" borderId="0" xfId="0" applyNumberFormat="1" applyFont="1"/>
    <xf numFmtId="165" fontId="6" fillId="0" borderId="1" xfId="0" applyNumberFormat="1" applyFont="1" applyBorder="1"/>
    <xf numFmtId="3" fontId="6" fillId="0" borderId="1" xfId="0" applyNumberFormat="1" applyFont="1" applyBorder="1"/>
    <xf numFmtId="0" fontId="16" fillId="9" borderId="0" xfId="0" applyFont="1" applyFill="1" applyAlignment="1">
      <alignment horizontal="center"/>
    </xf>
    <xf numFmtId="0" fontId="16" fillId="0" borderId="2" xfId="0" applyFont="1" applyBorder="1" applyAlignment="1">
      <alignment horizontal="center"/>
    </xf>
    <xf numFmtId="166" fontId="16" fillId="0" borderId="0" xfId="0" applyNumberFormat="1" applyFont="1"/>
    <xf numFmtId="164" fontId="16" fillId="0" borderId="0" xfId="0" applyNumberFormat="1" applyFont="1"/>
    <xf numFmtId="166" fontId="25" fillId="0" borderId="0" xfId="0" applyNumberFormat="1" applyFont="1" applyAlignment="1">
      <alignment horizontal="center"/>
    </xf>
    <xf numFmtId="166" fontId="25" fillId="0" borderId="2" xfId="0" applyNumberFormat="1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166" fontId="25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right"/>
    </xf>
    <xf numFmtId="165" fontId="16" fillId="3" borderId="0" xfId="0" applyNumberFormat="1" applyFont="1" applyFill="1" applyBorder="1" applyAlignment="1">
      <alignment horizontal="center"/>
    </xf>
    <xf numFmtId="0" fontId="23" fillId="0" borderId="0" xfId="278" applyFont="1"/>
    <xf numFmtId="167" fontId="25" fillId="0" borderId="0" xfId="282" applyNumberFormat="1" applyFont="1" applyAlignment="1">
      <alignment horizontal="center"/>
    </xf>
    <xf numFmtId="167" fontId="16" fillId="4" borderId="0" xfId="0" applyNumberFormat="1" applyFont="1" applyFill="1" applyAlignment="1">
      <alignment horizontal="center"/>
    </xf>
    <xf numFmtId="166" fontId="25" fillId="0" borderId="0" xfId="0" applyNumberFormat="1" applyFont="1"/>
    <xf numFmtId="166" fontId="25" fillId="0" borderId="2" xfId="0" applyNumberFormat="1" applyFont="1" applyBorder="1"/>
    <xf numFmtId="164" fontId="25" fillId="0" borderId="2" xfId="0" applyNumberFormat="1" applyFont="1" applyBorder="1"/>
    <xf numFmtId="0" fontId="16" fillId="0" borderId="0" xfId="0" applyFont="1" applyBorder="1" applyAlignment="1">
      <alignment horizontal="right"/>
    </xf>
    <xf numFmtId="165" fontId="13" fillId="0" borderId="3" xfId="277" applyNumberFormat="1" applyFont="1" applyBorder="1" applyAlignment="1">
      <alignment vertical="center" wrapText="1"/>
    </xf>
    <xf numFmtId="0" fontId="13" fillId="6" borderId="3" xfId="277" applyFont="1" applyFill="1" applyBorder="1" applyAlignment="1">
      <alignment vertical="center" wrapText="1"/>
    </xf>
    <xf numFmtId="2" fontId="13" fillId="0" borderId="14" xfId="277" applyNumberFormat="1" applyFont="1" applyBorder="1" applyAlignment="1">
      <alignment horizontal="center" vertical="center" wrapText="1"/>
    </xf>
    <xf numFmtId="2" fontId="13" fillId="9" borderId="5" xfId="277" applyNumberFormat="1" applyFont="1" applyFill="1" applyBorder="1" applyAlignment="1">
      <alignment vertical="center" wrapText="1"/>
    </xf>
    <xf numFmtId="2" fontId="13" fillId="0" borderId="80" xfId="277" applyNumberFormat="1" applyFont="1" applyBorder="1" applyAlignment="1">
      <alignment horizontal="center" vertical="center" wrapText="1"/>
    </xf>
    <xf numFmtId="164" fontId="13" fillId="0" borderId="13" xfId="277" applyNumberFormat="1" applyFont="1" applyBorder="1" applyAlignment="1">
      <alignment vertical="center" wrapText="1"/>
    </xf>
    <xf numFmtId="165" fontId="13" fillId="0" borderId="78" xfId="277" applyNumberFormat="1" applyFont="1" applyBorder="1" applyAlignment="1">
      <alignment vertical="center" wrapText="1"/>
    </xf>
    <xf numFmtId="0" fontId="13" fillId="0" borderId="80" xfId="277" applyFont="1" applyBorder="1" applyAlignment="1">
      <alignment horizontal="center" vertical="center" wrapText="1"/>
    </xf>
    <xf numFmtId="165" fontId="13" fillId="0" borderId="8" xfId="277" applyNumberFormat="1" applyFont="1" applyBorder="1" applyAlignment="1">
      <alignment vertical="center" wrapText="1"/>
    </xf>
    <xf numFmtId="164" fontId="13" fillId="0" borderId="9" xfId="277" applyNumberFormat="1" applyFont="1" applyBorder="1" applyAlignment="1">
      <alignment vertical="center" wrapText="1"/>
    </xf>
    <xf numFmtId="165" fontId="13" fillId="0" borderId="81" xfId="277" applyNumberFormat="1" applyFont="1" applyBorder="1" applyAlignment="1">
      <alignment vertical="center" wrapText="1"/>
    </xf>
    <xf numFmtId="165" fontId="13" fillId="0" borderId="33" xfId="277" applyNumberFormat="1" applyFont="1" applyBorder="1" applyAlignment="1">
      <alignment vertical="center" wrapText="1"/>
    </xf>
    <xf numFmtId="2" fontId="13" fillId="0" borderId="16" xfId="277" applyNumberFormat="1" applyFont="1" applyBorder="1" applyAlignment="1">
      <alignment vertical="center" wrapText="1"/>
    </xf>
    <xf numFmtId="2" fontId="13" fillId="0" borderId="81" xfId="277" applyNumberFormat="1" applyFont="1" applyBorder="1" applyAlignment="1">
      <alignment vertical="center" wrapText="1"/>
    </xf>
    <xf numFmtId="2" fontId="13" fillId="4" borderId="19" xfId="277" applyNumberFormat="1" applyFont="1" applyFill="1" applyBorder="1" applyAlignment="1">
      <alignment vertical="center" wrapText="1"/>
    </xf>
    <xf numFmtId="2" fontId="13" fillId="18" borderId="19" xfId="277" applyNumberFormat="1" applyFont="1" applyFill="1" applyBorder="1" applyAlignment="1">
      <alignment vertical="center" wrapText="1"/>
    </xf>
    <xf numFmtId="164" fontId="13" fillId="18" borderId="19" xfId="277" applyNumberFormat="1" applyFont="1" applyFill="1" applyBorder="1" applyAlignment="1">
      <alignment vertical="center" wrapText="1"/>
    </xf>
    <xf numFmtId="0" fontId="13" fillId="18" borderId="18" xfId="277" applyFont="1" applyFill="1" applyBorder="1" applyAlignment="1">
      <alignment vertical="center" wrapText="1"/>
    </xf>
    <xf numFmtId="164" fontId="13" fillId="18" borderId="18" xfId="277" applyNumberFormat="1" applyFont="1" applyFill="1" applyBorder="1" applyAlignment="1">
      <alignment vertical="center" wrapText="1"/>
    </xf>
    <xf numFmtId="0" fontId="13" fillId="18" borderId="1" xfId="277" applyFont="1" applyFill="1" applyBorder="1" applyAlignment="1">
      <alignment vertical="center" wrapText="1"/>
    </xf>
    <xf numFmtId="0" fontId="13" fillId="18" borderId="19" xfId="277" applyFont="1" applyFill="1" applyBorder="1" applyAlignment="1">
      <alignment vertical="center" wrapText="1"/>
    </xf>
    <xf numFmtId="0" fontId="13" fillId="18" borderId="25" xfId="277" applyFont="1" applyFill="1" applyBorder="1" applyAlignment="1">
      <alignment vertical="center" wrapText="1"/>
    </xf>
    <xf numFmtId="0" fontId="25" fillId="0" borderId="49" xfId="279" applyFont="1" applyBorder="1" applyAlignment="1"/>
    <xf numFmtId="0" fontId="24" fillId="0" borderId="0" xfId="278" applyFont="1" applyBorder="1" applyAlignment="1" applyProtection="1">
      <protection locked="0"/>
    </xf>
    <xf numFmtId="0" fontId="6" fillId="0" borderId="11" xfId="0" applyFont="1" applyBorder="1"/>
    <xf numFmtId="0" fontId="6" fillId="0" borderId="32" xfId="0" applyFont="1" applyBorder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32" xfId="0" applyFont="1" applyBorder="1" applyAlignment="1"/>
    <xf numFmtId="0" fontId="6" fillId="0" borderId="33" xfId="0" applyFont="1" applyBorder="1" applyAlignment="1"/>
    <xf numFmtId="10" fontId="6" fillId="0" borderId="0" xfId="0" applyNumberFormat="1" applyFont="1" applyBorder="1" applyAlignment="1"/>
    <xf numFmtId="10" fontId="6" fillId="0" borderId="12" xfId="0" applyNumberFormat="1" applyFont="1" applyBorder="1" applyAlignment="1"/>
    <xf numFmtId="10" fontId="6" fillId="0" borderId="33" xfId="0" applyNumberFormat="1" applyFont="1" applyBorder="1" applyAlignment="1"/>
    <xf numFmtId="10" fontId="6" fillId="0" borderId="8" xfId="0" applyNumberFormat="1" applyFont="1" applyBorder="1" applyAlignment="1"/>
    <xf numFmtId="0" fontId="6" fillId="0" borderId="1" xfId="0" applyFont="1" applyBorder="1" applyAlignment="1">
      <alignment wrapText="1"/>
    </xf>
    <xf numFmtId="0" fontId="25" fillId="0" borderId="48" xfId="279" applyFont="1" applyBorder="1" applyAlignment="1">
      <alignment horizontal="left"/>
    </xf>
    <xf numFmtId="0" fontId="25" fillId="0" borderId="49" xfId="279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25" fillId="8" borderId="50" xfId="279" applyFont="1" applyFill="1" applyBorder="1"/>
    <xf numFmtId="10" fontId="25" fillId="8" borderId="50" xfId="279" applyNumberFormat="1" applyFont="1" applyFill="1" applyBorder="1" applyAlignment="1">
      <alignment horizontal="right"/>
    </xf>
    <xf numFmtId="8" fontId="25" fillId="8" borderId="44" xfId="279" applyNumberFormat="1" applyFont="1" applyFill="1" applyBorder="1" applyProtection="1">
      <protection locked="0"/>
    </xf>
    <xf numFmtId="8" fontId="25" fillId="8" borderId="50" xfId="279" applyNumberFormat="1" applyFont="1" applyFill="1" applyBorder="1" applyProtection="1">
      <protection locked="0"/>
    </xf>
    <xf numFmtId="8" fontId="25" fillId="8" borderId="52" xfId="279" applyNumberFormat="1" applyFont="1" applyFill="1" applyBorder="1" applyProtection="1">
      <protection locked="0"/>
    </xf>
    <xf numFmtId="165" fontId="29" fillId="4" borderId="0" xfId="0" applyNumberFormat="1" applyFont="1" applyFill="1"/>
    <xf numFmtId="165" fontId="29" fillId="0" borderId="0" xfId="0" applyNumberFormat="1" applyFont="1" applyFill="1" applyBorder="1"/>
    <xf numFmtId="0" fontId="29" fillId="0" borderId="0" xfId="0" applyFont="1"/>
    <xf numFmtId="0" fontId="30" fillId="0" borderId="0" xfId="0" applyFont="1" applyAlignment="1" applyProtection="1">
      <alignment horizontal="right"/>
      <protection locked="0"/>
    </xf>
    <xf numFmtId="0" fontId="30" fillId="0" borderId="0" xfId="0" applyFont="1" applyAlignment="1">
      <alignment horizontal="right"/>
    </xf>
    <xf numFmtId="0" fontId="30" fillId="0" borderId="0" xfId="0" applyFont="1"/>
    <xf numFmtId="165" fontId="29" fillId="0" borderId="0" xfId="0" applyNumberFormat="1" applyFont="1" applyFill="1"/>
    <xf numFmtId="0" fontId="31" fillId="0" borderId="0" xfId="0" applyFont="1" applyProtection="1">
      <protection locked="0"/>
    </xf>
    <xf numFmtId="6" fontId="30" fillId="0" borderId="0" xfId="0" applyNumberFormat="1" applyFont="1" applyAlignment="1" applyProtection="1">
      <alignment horizontal="right"/>
      <protection locked="0"/>
    </xf>
    <xf numFmtId="6" fontId="30" fillId="0" borderId="0" xfId="0" applyNumberFormat="1" applyFont="1" applyAlignment="1">
      <alignment horizontal="right"/>
    </xf>
    <xf numFmtId="6" fontId="30" fillId="0" borderId="0" xfId="0" applyNumberFormat="1" applyFont="1"/>
    <xf numFmtId="14" fontId="30" fillId="0" borderId="0" xfId="0" applyNumberFormat="1" applyFont="1" applyAlignment="1" applyProtection="1">
      <alignment horizontal="right"/>
      <protection locked="0"/>
    </xf>
    <xf numFmtId="170" fontId="30" fillId="0" borderId="0" xfId="0" applyNumberFormat="1" applyFont="1" applyAlignment="1">
      <alignment horizontal="right"/>
    </xf>
    <xf numFmtId="1" fontId="29" fillId="0" borderId="0" xfId="0" applyNumberFormat="1" applyFont="1" applyAlignment="1">
      <alignment horizontal="left"/>
    </xf>
    <xf numFmtId="10" fontId="30" fillId="0" borderId="0" xfId="0" applyNumberFormat="1" applyFont="1" applyAlignment="1" applyProtection="1">
      <alignment horizontal="right"/>
      <protection locked="0"/>
    </xf>
    <xf numFmtId="10" fontId="30" fillId="0" borderId="0" xfId="0" applyNumberFormat="1" applyFont="1" applyAlignment="1">
      <alignment horizontal="right"/>
    </xf>
    <xf numFmtId="0" fontId="30" fillId="0" borderId="0" xfId="0" applyNumberFormat="1" applyFont="1"/>
    <xf numFmtId="1" fontId="32" fillId="0" borderId="0" xfId="0" applyNumberFormat="1" applyFont="1" applyAlignment="1">
      <alignment horizontal="left"/>
    </xf>
    <xf numFmtId="166" fontId="33" fillId="0" borderId="0" xfId="0" applyNumberFormat="1" applyFont="1" applyAlignment="1" applyProtection="1">
      <alignment horizontal="right"/>
    </xf>
    <xf numFmtId="0" fontId="33" fillId="0" borderId="0" xfId="0" applyFont="1" applyAlignment="1">
      <alignment horizontal="right"/>
    </xf>
    <xf numFmtId="0" fontId="34" fillId="0" borderId="0" xfId="0" applyFont="1" applyFill="1" applyAlignment="1" applyProtection="1">
      <alignment horizontal="center"/>
    </xf>
    <xf numFmtId="0" fontId="34" fillId="0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right"/>
    </xf>
    <xf numFmtId="0" fontId="29" fillId="3" borderId="0" xfId="0" applyFont="1" applyFill="1" applyAlignment="1">
      <alignment horizontal="center"/>
    </xf>
    <xf numFmtId="0" fontId="29" fillId="0" borderId="0" xfId="0" applyFont="1" applyFill="1"/>
    <xf numFmtId="0" fontId="31" fillId="9" borderId="1" xfId="0" applyFont="1" applyFill="1" applyBorder="1" applyProtection="1">
      <protection locked="0"/>
    </xf>
    <xf numFmtId="0" fontId="29" fillId="9" borderId="1" xfId="0" applyFont="1" applyFill="1" applyBorder="1" applyAlignment="1">
      <alignment horizontal="left"/>
    </xf>
    <xf numFmtId="0" fontId="35" fillId="9" borderId="1" xfId="278" applyFont="1" applyFill="1" applyBorder="1" applyProtection="1">
      <protection locked="0"/>
    </xf>
    <xf numFmtId="0" fontId="29" fillId="9" borderId="1" xfId="0" applyFont="1" applyFill="1" applyBorder="1" applyAlignment="1">
      <alignment horizontal="center"/>
    </xf>
    <xf numFmtId="0" fontId="29" fillId="3" borderId="0" xfId="0" applyFont="1" applyFill="1"/>
    <xf numFmtId="0" fontId="30" fillId="0" borderId="1" xfId="0" applyFont="1" applyBorder="1"/>
    <xf numFmtId="0" fontId="36" fillId="0" borderId="0" xfId="0" applyFont="1" applyFill="1" applyBorder="1" applyProtection="1">
      <protection locked="0"/>
    </xf>
    <xf numFmtId="0" fontId="30" fillId="0" borderId="0" xfId="0" applyFont="1" applyProtection="1">
      <protection locked="0"/>
    </xf>
    <xf numFmtId="167" fontId="30" fillId="9" borderId="0" xfId="0" applyNumberFormat="1" applyFont="1" applyFill="1" applyBorder="1" applyAlignment="1" applyProtection="1">
      <alignment horizontal="center"/>
    </xf>
    <xf numFmtId="164" fontId="30" fillId="0" borderId="0" xfId="0" applyNumberFormat="1" applyFont="1" applyProtection="1">
      <protection locked="0"/>
    </xf>
    <xf numFmtId="10" fontId="30" fillId="0" borderId="0" xfId="0" applyNumberFormat="1" applyFont="1" applyAlignment="1" applyProtection="1">
      <alignment horizontal="center"/>
      <protection locked="0"/>
    </xf>
    <xf numFmtId="172" fontId="30" fillId="9" borderId="0" xfId="0" applyNumberFormat="1" applyFont="1" applyFill="1" applyAlignment="1" applyProtection="1">
      <alignment horizontal="center"/>
    </xf>
    <xf numFmtId="164" fontId="30" fillId="0" borderId="0" xfId="0" applyNumberFormat="1" applyFont="1" applyAlignment="1" applyProtection="1">
      <alignment horizontal="right"/>
    </xf>
    <xf numFmtId="165" fontId="29" fillId="3" borderId="0" xfId="0" applyNumberFormat="1" applyFont="1" applyFill="1" applyProtection="1"/>
    <xf numFmtId="164" fontId="30" fillId="0" borderId="8" xfId="0" applyNumberFormat="1" applyFont="1" applyBorder="1" applyProtection="1"/>
    <xf numFmtId="164" fontId="30" fillId="0" borderId="12" xfId="0" applyNumberFormat="1" applyFont="1" applyBorder="1" applyProtection="1"/>
    <xf numFmtId="0" fontId="29" fillId="0" borderId="0" xfId="0" applyFont="1" applyProtection="1">
      <protection locked="0"/>
    </xf>
    <xf numFmtId="165" fontId="29" fillId="3" borderId="0" xfId="0" applyNumberFormat="1" applyFont="1" applyFill="1" applyProtection="1">
      <protection locked="0"/>
    </xf>
    <xf numFmtId="0" fontId="30" fillId="0" borderId="0" xfId="0" applyFont="1" applyBorder="1" applyProtection="1">
      <protection locked="0"/>
    </xf>
    <xf numFmtId="0" fontId="31" fillId="9" borderId="4" xfId="0" applyFont="1" applyFill="1" applyBorder="1" applyProtection="1">
      <protection locked="0"/>
    </xf>
    <xf numFmtId="0" fontId="29" fillId="9" borderId="5" xfId="0" applyFont="1" applyFill="1" applyBorder="1" applyAlignment="1" applyProtection="1">
      <alignment horizontal="left"/>
      <protection locked="0"/>
    </xf>
    <xf numFmtId="0" fontId="35" fillId="9" borderId="5" xfId="278" applyFont="1" applyFill="1" applyBorder="1" applyProtection="1">
      <protection locked="0"/>
    </xf>
    <xf numFmtId="166" fontId="30" fillId="9" borderId="5" xfId="0" applyNumberFormat="1" applyFont="1" applyFill="1" applyBorder="1" applyAlignment="1" applyProtection="1">
      <alignment horizontal="center"/>
      <protection locked="0"/>
    </xf>
    <xf numFmtId="172" fontId="30" fillId="9" borderId="5" xfId="0" applyNumberFormat="1" applyFont="1" applyFill="1" applyBorder="1" applyAlignment="1" applyProtection="1">
      <alignment horizontal="center"/>
    </xf>
    <xf numFmtId="166" fontId="30" fillId="9" borderId="5" xfId="0" applyNumberFormat="1" applyFont="1" applyFill="1" applyBorder="1" applyAlignment="1" applyProtection="1">
      <alignment horizontal="center"/>
    </xf>
    <xf numFmtId="166" fontId="30" fillId="9" borderId="3" xfId="0" applyNumberFormat="1" applyFont="1" applyFill="1" applyBorder="1" applyAlignment="1" applyProtection="1">
      <alignment horizontal="center"/>
    </xf>
    <xf numFmtId="165" fontId="29" fillId="3" borderId="0" xfId="0" applyNumberFormat="1" applyFont="1" applyFill="1"/>
    <xf numFmtId="0" fontId="30" fillId="0" borderId="0" xfId="0" applyFont="1" applyBorder="1"/>
    <xf numFmtId="164" fontId="30" fillId="0" borderId="12" xfId="0" applyNumberFormat="1" applyFont="1" applyBorder="1"/>
    <xf numFmtId="167" fontId="30" fillId="9" borderId="0" xfId="0" applyNumberFormat="1" applyFont="1" applyFill="1" applyBorder="1" applyAlignment="1" applyProtection="1">
      <alignment horizontal="center" vertical="center"/>
    </xf>
    <xf numFmtId="0" fontId="29" fillId="9" borderId="0" xfId="0" applyFont="1" applyFill="1" applyAlignment="1" applyProtection="1">
      <alignment horizontal="center"/>
    </xf>
    <xf numFmtId="0" fontId="30" fillId="0" borderId="0" xfId="0" applyFont="1" applyProtection="1"/>
    <xf numFmtId="0" fontId="29" fillId="2" borderId="0" xfId="0" applyFont="1" applyFill="1"/>
    <xf numFmtId="2" fontId="29" fillId="2" borderId="0" xfId="0" applyNumberFormat="1" applyFont="1" applyFill="1" applyAlignment="1">
      <alignment horizontal="right"/>
    </xf>
    <xf numFmtId="165" fontId="29" fillId="2" borderId="0" xfId="0" applyNumberFormat="1" applyFont="1" applyFill="1" applyAlignment="1" applyProtection="1">
      <alignment horizontal="right"/>
    </xf>
    <xf numFmtId="165" fontId="29" fillId="2" borderId="0" xfId="0" applyNumberFormat="1" applyFont="1" applyFill="1" applyAlignment="1">
      <alignment horizontal="right"/>
    </xf>
    <xf numFmtId="10" fontId="30" fillId="0" borderId="0" xfId="0" applyNumberFormat="1" applyFont="1"/>
    <xf numFmtId="165" fontId="30" fillId="0" borderId="0" xfId="0" applyNumberFormat="1" applyFont="1" applyAlignment="1" applyProtection="1">
      <alignment horizontal="right"/>
      <protection locked="0"/>
    </xf>
    <xf numFmtId="0" fontId="37" fillId="0" borderId="0" xfId="278" applyFont="1"/>
    <xf numFmtId="165" fontId="30" fillId="0" borderId="2" xfId="0" applyNumberFormat="1" applyFont="1" applyBorder="1" applyAlignment="1" applyProtection="1">
      <alignment horizontal="right"/>
      <protection locked="0"/>
    </xf>
    <xf numFmtId="0" fontId="29" fillId="2" borderId="0" xfId="0" applyFont="1" applyFill="1" applyAlignment="1">
      <alignment horizontal="right"/>
    </xf>
    <xf numFmtId="165" fontId="29" fillId="2" borderId="0" xfId="0" applyNumberFormat="1" applyFont="1" applyFill="1" applyProtection="1">
      <protection locked="0"/>
    </xf>
    <xf numFmtId="0" fontId="29" fillId="2" borderId="0" xfId="0" applyFont="1" applyFill="1" applyProtection="1">
      <protection locked="0"/>
    </xf>
    <xf numFmtId="0" fontId="35" fillId="0" borderId="0" xfId="278" applyFont="1" applyProtection="1">
      <protection locked="0"/>
    </xf>
    <xf numFmtId="0" fontId="37" fillId="0" borderId="0" xfId="278" applyFont="1" applyProtection="1">
      <protection locked="0"/>
    </xf>
    <xf numFmtId="165" fontId="30" fillId="0" borderId="0" xfId="0" applyNumberFormat="1" applyFont="1" applyFill="1" applyBorder="1" applyProtection="1">
      <protection locked="0"/>
    </xf>
    <xf numFmtId="165" fontId="30" fillId="0" borderId="0" xfId="0" applyNumberFormat="1" applyFont="1" applyBorder="1" applyProtection="1"/>
    <xf numFmtId="165" fontId="30" fillId="0" borderId="0" xfId="0" applyNumberFormat="1" applyFont="1" applyBorder="1"/>
    <xf numFmtId="165" fontId="30" fillId="0" borderId="2" xfId="0" applyNumberFormat="1" applyFont="1" applyBorder="1" applyProtection="1">
      <protection locked="0"/>
    </xf>
    <xf numFmtId="165" fontId="30" fillId="0" borderId="2" xfId="0" applyNumberFormat="1" applyFont="1" applyBorder="1"/>
    <xf numFmtId="165" fontId="30" fillId="0" borderId="2" xfId="0" applyNumberFormat="1" applyFont="1" applyFill="1" applyBorder="1" applyProtection="1">
      <protection locked="0"/>
    </xf>
    <xf numFmtId="0" fontId="30" fillId="2" borderId="0" xfId="0" applyFont="1" applyFill="1"/>
    <xf numFmtId="165" fontId="29" fillId="2" borderId="0" xfId="0" applyNumberFormat="1" applyFont="1" applyFill="1" applyProtection="1"/>
    <xf numFmtId="165" fontId="29" fillId="2" borderId="0" xfId="0" applyNumberFormat="1" applyFont="1" applyFill="1"/>
    <xf numFmtId="0" fontId="30" fillId="0" borderId="0" xfId="0" applyFont="1" applyFill="1"/>
    <xf numFmtId="0" fontId="29" fillId="0" borderId="0" xfId="0" applyFont="1" applyFill="1" applyAlignment="1">
      <alignment horizontal="right"/>
    </xf>
    <xf numFmtId="0" fontId="30" fillId="3" borderId="0" xfId="0" applyFont="1" applyFill="1"/>
    <xf numFmtId="0" fontId="29" fillId="3" borderId="0" xfId="0" applyFont="1" applyFill="1" applyAlignment="1">
      <alignment horizontal="right"/>
    </xf>
    <xf numFmtId="0" fontId="30" fillId="3" borderId="0" xfId="0" applyFont="1" applyFill="1" applyProtection="1">
      <protection locked="0"/>
    </xf>
    <xf numFmtId="0" fontId="29" fillId="5" borderId="0" xfId="0" applyFont="1" applyFill="1"/>
    <xf numFmtId="0" fontId="30" fillId="5" borderId="0" xfId="0" applyFont="1" applyFill="1"/>
    <xf numFmtId="0" fontId="29" fillId="5" borderId="0" xfId="0" applyFont="1" applyFill="1" applyAlignment="1">
      <alignment horizontal="right"/>
    </xf>
    <xf numFmtId="165" fontId="29" fillId="5" borderId="0" xfId="0" applyNumberFormat="1" applyFont="1" applyFill="1" applyBorder="1" applyProtection="1"/>
    <xf numFmtId="165" fontId="29" fillId="5" borderId="0" xfId="0" applyNumberFormat="1" applyFont="1" applyFill="1" applyProtection="1"/>
    <xf numFmtId="165" fontId="29" fillId="0" borderId="0" xfId="0" applyNumberFormat="1" applyFont="1"/>
    <xf numFmtId="0" fontId="29" fillId="4" borderId="0" xfId="0" applyFont="1" applyFill="1"/>
    <xf numFmtId="0" fontId="30" fillId="4" borderId="0" xfId="0" applyFont="1" applyFill="1"/>
    <xf numFmtId="0" fontId="29" fillId="4" borderId="0" xfId="0" applyFont="1" applyFill="1" applyAlignment="1">
      <alignment horizontal="right"/>
    </xf>
    <xf numFmtId="165" fontId="29" fillId="4" borderId="0" xfId="0" applyNumberFormat="1" applyFont="1" applyFill="1" applyProtection="1">
      <protection locked="0"/>
    </xf>
    <xf numFmtId="165" fontId="29" fillId="4" borderId="0" xfId="0" applyNumberFormat="1" applyFont="1" applyFill="1" applyProtection="1"/>
    <xf numFmtId="0" fontId="29" fillId="4" borderId="2" xfId="0" applyFont="1" applyFill="1" applyBorder="1" applyAlignment="1">
      <alignment horizontal="center"/>
    </xf>
    <xf numFmtId="167" fontId="29" fillId="4" borderId="0" xfId="0" applyNumberFormat="1" applyFont="1" applyFill="1" applyAlignment="1" applyProtection="1">
      <alignment horizontal="center"/>
      <protection locked="0"/>
    </xf>
    <xf numFmtId="0" fontId="38" fillId="0" borderId="0" xfId="0" applyFont="1"/>
    <xf numFmtId="165" fontId="30" fillId="0" borderId="0" xfId="0" applyNumberFormat="1" applyFont="1"/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0" fontId="39" fillId="0" borderId="0" xfId="0" applyFont="1"/>
    <xf numFmtId="164" fontId="30" fillId="0" borderId="0" xfId="0" applyNumberFormat="1" applyFont="1" applyBorder="1" applyAlignment="1">
      <alignment horizontal="left"/>
    </xf>
    <xf numFmtId="0" fontId="36" fillId="0" borderId="0" xfId="278" applyFont="1" applyProtection="1">
      <protection locked="0"/>
    </xf>
    <xf numFmtId="0" fontId="25" fillId="0" borderId="48" xfId="279" applyFont="1" applyBorder="1" applyAlignment="1"/>
    <xf numFmtId="164" fontId="6" fillId="20" borderId="1" xfId="0" applyNumberFormat="1" applyFont="1" applyFill="1" applyBorder="1" applyAlignment="1"/>
    <xf numFmtId="164" fontId="6" fillId="8" borderId="1" xfId="0" applyNumberFormat="1" applyFont="1" applyFill="1" applyBorder="1" applyAlignment="1"/>
    <xf numFmtId="164" fontId="6" fillId="21" borderId="1" xfId="0" applyNumberFormat="1" applyFont="1" applyFill="1" applyBorder="1" applyAlignment="1"/>
    <xf numFmtId="164" fontId="6" fillId="19" borderId="1" xfId="0" applyNumberFormat="1" applyFont="1" applyFill="1" applyBorder="1" applyAlignment="1"/>
    <xf numFmtId="164" fontId="6" fillId="22" borderId="1" xfId="0" applyNumberFormat="1" applyFont="1" applyFill="1" applyBorder="1" applyAlignment="1"/>
    <xf numFmtId="164" fontId="6" fillId="23" borderId="1" xfId="0" applyNumberFormat="1" applyFont="1" applyFill="1" applyBorder="1" applyAlignment="1"/>
    <xf numFmtId="164" fontId="30" fillId="0" borderId="11" xfId="0" applyNumberFormat="1" applyFont="1" applyBorder="1" applyAlignment="1" applyProtection="1">
      <alignment horizontal="center"/>
    </xf>
    <xf numFmtId="164" fontId="30" fillId="0" borderId="32" xfId="0" applyNumberFormat="1" applyFont="1" applyBorder="1" applyAlignment="1" applyProtection="1">
      <alignment horizontal="center"/>
    </xf>
    <xf numFmtId="164" fontId="30" fillId="0" borderId="10" xfId="0" applyNumberFormat="1" applyFont="1" applyBorder="1" applyAlignment="1" applyProtection="1">
      <alignment horizontal="center"/>
    </xf>
    <xf numFmtId="165" fontId="30" fillId="9" borderId="0" xfId="0" applyNumberFormat="1" applyFont="1" applyFill="1" applyBorder="1" applyProtection="1"/>
    <xf numFmtId="165" fontId="30" fillId="9" borderId="0" xfId="0" applyNumberFormat="1" applyFont="1" applyFill="1" applyBorder="1" applyProtection="1">
      <protection locked="0"/>
    </xf>
    <xf numFmtId="0" fontId="16" fillId="9" borderId="1" xfId="0" applyFont="1" applyFill="1" applyBorder="1" applyAlignment="1">
      <alignment horizontal="center"/>
    </xf>
    <xf numFmtId="164" fontId="30" fillId="0" borderId="1" xfId="0" applyNumberFormat="1" applyFont="1" applyBorder="1" applyProtection="1"/>
    <xf numFmtId="164" fontId="30" fillId="0" borderId="9" xfId="0" applyNumberFormat="1" applyFont="1" applyBorder="1" applyAlignment="1" applyProtection="1">
      <alignment horizontal="center"/>
    </xf>
    <xf numFmtId="164" fontId="30" fillId="0" borderId="13" xfId="0" applyNumberFormat="1" applyFont="1" applyBorder="1" applyAlignment="1" applyProtection="1">
      <alignment horizontal="center"/>
    </xf>
    <xf numFmtId="166" fontId="30" fillId="9" borderId="4" xfId="0" applyNumberFormat="1" applyFont="1" applyFill="1" applyBorder="1" applyAlignment="1" applyProtection="1">
      <alignment horizontal="center"/>
    </xf>
    <xf numFmtId="165" fontId="16" fillId="2" borderId="7" xfId="0" applyNumberFormat="1" applyFont="1" applyFill="1" applyBorder="1"/>
    <xf numFmtId="165" fontId="16" fillId="3" borderId="7" xfId="0" applyNumberFormat="1" applyFont="1" applyFill="1" applyBorder="1"/>
    <xf numFmtId="165" fontId="25" fillId="9" borderId="0" xfId="0" applyNumberFormat="1" applyFont="1" applyFill="1" applyBorder="1"/>
    <xf numFmtId="173" fontId="25" fillId="0" borderId="0" xfId="0" applyNumberFormat="1" applyFont="1" applyAlignment="1">
      <alignment horizontal="right"/>
    </xf>
    <xf numFmtId="0" fontId="40" fillId="0" borderId="0" xfId="0" applyFont="1" applyAlignment="1">
      <alignment vertical="center"/>
    </xf>
    <xf numFmtId="0" fontId="40" fillId="0" borderId="0" xfId="0" applyFont="1"/>
    <xf numFmtId="49" fontId="7" fillId="4" borderId="0" xfId="0" applyNumberFormat="1" applyFont="1" applyFill="1" applyAlignment="1"/>
    <xf numFmtId="49" fontId="16" fillId="4" borderId="0" xfId="0" applyNumberFormat="1" applyFont="1" applyFill="1" applyAlignment="1"/>
    <xf numFmtId="165" fontId="29" fillId="4" borderId="0" xfId="0" applyNumberFormat="1" applyFont="1" applyFill="1" applyAlignment="1" applyProtection="1">
      <protection locked="0"/>
    </xf>
    <xf numFmtId="0" fontId="6" fillId="0" borderId="0" xfId="0" applyFont="1" applyAlignment="1"/>
    <xf numFmtId="0" fontId="6" fillId="13" borderId="1" xfId="0" applyFont="1" applyFill="1" applyBorder="1" applyAlignment="1">
      <alignment horizontal="center"/>
    </xf>
    <xf numFmtId="0" fontId="6" fillId="13" borderId="1" xfId="0" applyFont="1" applyFill="1" applyBorder="1" applyAlignment="1">
      <alignment vertical="center"/>
    </xf>
    <xf numFmtId="14" fontId="6" fillId="0" borderId="1" xfId="0" applyNumberFormat="1" applyFont="1" applyBorder="1" applyAlignment="1">
      <alignment vertical="center"/>
    </xf>
    <xf numFmtId="2" fontId="6" fillId="8" borderId="1" xfId="0" applyNumberFormat="1" applyFont="1" applyFill="1" applyBorder="1" applyAlignment="1">
      <alignment horizontal="right"/>
    </xf>
    <xf numFmtId="2" fontId="6" fillId="2" borderId="1" xfId="0" applyNumberFormat="1" applyFont="1" applyFill="1" applyBorder="1" applyAlignment="1">
      <alignment horizontal="right"/>
    </xf>
    <xf numFmtId="10" fontId="6" fillId="2" borderId="1" xfId="0" applyNumberFormat="1" applyFont="1" applyFill="1" applyBorder="1" applyAlignment="1">
      <alignment horizontal="right"/>
    </xf>
    <xf numFmtId="2" fontId="6" fillId="0" borderId="0" xfId="0" applyNumberFormat="1" applyFont="1"/>
    <xf numFmtId="10" fontId="6" fillId="0" borderId="0" xfId="0" applyNumberFormat="1" applyFont="1"/>
    <xf numFmtId="2" fontId="41" fillId="2" borderId="1" xfId="0" applyNumberFormat="1" applyFont="1" applyFill="1" applyBorder="1"/>
    <xf numFmtId="10" fontId="6" fillId="8" borderId="1" xfId="0" applyNumberFormat="1" applyFont="1" applyFill="1" applyBorder="1" applyAlignment="1">
      <alignment horizontal="right"/>
    </xf>
    <xf numFmtId="0" fontId="6" fillId="11" borderId="4" xfId="0" applyFont="1" applyFill="1" applyBorder="1" applyAlignment="1">
      <alignment horizontal="left"/>
    </xf>
    <xf numFmtId="0" fontId="6" fillId="11" borderId="1" xfId="0" applyFont="1" applyFill="1" applyBorder="1" applyAlignment="1">
      <alignment horizontal="center" vertical="center"/>
    </xf>
    <xf numFmtId="0" fontId="6" fillId="0" borderId="0" xfId="0" applyFont="1" applyBorder="1" applyAlignment="1"/>
    <xf numFmtId="0" fontId="6" fillId="0" borderId="6" xfId="0" applyFont="1" applyBorder="1"/>
    <xf numFmtId="0" fontId="6" fillId="0" borderId="8" xfId="0" applyFont="1" applyBorder="1"/>
    <xf numFmtId="0" fontId="6" fillId="0" borderId="12" xfId="0" applyFont="1" applyBorder="1"/>
    <xf numFmtId="0" fontId="6" fillId="0" borderId="33" xfId="0" applyFont="1" applyBorder="1"/>
    <xf numFmtId="0" fontId="6" fillId="8" borderId="1" xfId="0" applyFont="1" applyFill="1" applyBorder="1" applyAlignment="1">
      <alignment horizontal="center"/>
    </xf>
    <xf numFmtId="166" fontId="6" fillId="8" borderId="1" xfId="0" applyNumberFormat="1" applyFont="1" applyFill="1" applyBorder="1" applyAlignment="1">
      <alignment horizontal="center"/>
    </xf>
    <xf numFmtId="164" fontId="6" fillId="4" borderId="1" xfId="0" applyNumberFormat="1" applyFont="1" applyFill="1" applyBorder="1"/>
    <xf numFmtId="164" fontId="6" fillId="24" borderId="1" xfId="0" applyNumberFormat="1" applyFont="1" applyFill="1" applyBorder="1"/>
    <xf numFmtId="165" fontId="30" fillId="0" borderId="0" xfId="0" applyNumberFormat="1" applyFont="1" applyFill="1"/>
    <xf numFmtId="0" fontId="16" fillId="0" borderId="82" xfId="279" applyFont="1" applyBorder="1"/>
    <xf numFmtId="49" fontId="16" fillId="0" borderId="82" xfId="279" quotePrefix="1" applyNumberFormat="1" applyFont="1" applyBorder="1"/>
    <xf numFmtId="14" fontId="16" fillId="8" borderId="82" xfId="279" applyNumberFormat="1" applyFont="1" applyFill="1" applyBorder="1" applyAlignment="1">
      <alignment horizontal="left"/>
    </xf>
    <xf numFmtId="14" fontId="16" fillId="7" borderId="82" xfId="279" applyNumberFormat="1" applyFont="1" applyFill="1" applyBorder="1" applyAlignment="1">
      <alignment horizontal="left"/>
    </xf>
    <xf numFmtId="0" fontId="16" fillId="7" borderId="82" xfId="279" applyFont="1" applyFill="1" applyBorder="1"/>
    <xf numFmtId="167" fontId="16" fillId="0" borderId="82" xfId="280" applyNumberFormat="1" applyFont="1" applyFill="1" applyBorder="1" applyAlignment="1">
      <alignment horizontal="left"/>
    </xf>
    <xf numFmtId="164" fontId="30" fillId="0" borderId="0" xfId="0" applyNumberFormat="1" applyFont="1"/>
    <xf numFmtId="165" fontId="42" fillId="3" borderId="0" xfId="0" applyNumberFormat="1" applyFont="1" applyFill="1" applyProtection="1"/>
    <xf numFmtId="0" fontId="30" fillId="0" borderId="4" xfId="0" applyFont="1" applyBorder="1" applyAlignment="1" applyProtection="1">
      <alignment horizontal="center"/>
    </xf>
    <xf numFmtId="0" fontId="30" fillId="0" borderId="3" xfId="0" applyFont="1" applyBorder="1" applyAlignment="1" applyProtection="1">
      <alignment horizontal="center"/>
    </xf>
    <xf numFmtId="0" fontId="30" fillId="0" borderId="4" xfId="0" applyFont="1" applyBorder="1" applyAlignment="1">
      <alignment horizontal="center"/>
    </xf>
    <xf numFmtId="0" fontId="30" fillId="0" borderId="5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34" fillId="0" borderId="0" xfId="0" applyFont="1" applyFill="1" applyAlignment="1" applyProtection="1">
      <alignment horizontal="center"/>
    </xf>
    <xf numFmtId="0" fontId="29" fillId="9" borderId="1" xfId="0" applyFont="1" applyFill="1" applyBorder="1" applyAlignment="1">
      <alignment horizontal="center"/>
    </xf>
    <xf numFmtId="0" fontId="29" fillId="9" borderId="4" xfId="0" applyFont="1" applyFill="1" applyBorder="1" applyAlignment="1">
      <alignment horizontal="center"/>
    </xf>
    <xf numFmtId="0" fontId="29" fillId="9" borderId="5" xfId="0" applyFont="1" applyFill="1" applyBorder="1" applyAlignment="1">
      <alignment horizontal="center"/>
    </xf>
    <xf numFmtId="0" fontId="29" fillId="9" borderId="3" xfId="0" applyFont="1" applyFill="1" applyBorder="1" applyAlignment="1">
      <alignment horizontal="center"/>
    </xf>
    <xf numFmtId="166" fontId="34" fillId="0" borderId="0" xfId="0" applyNumberFormat="1" applyFont="1" applyFill="1" applyAlignment="1" applyProtection="1">
      <alignment horizontal="center"/>
    </xf>
    <xf numFmtId="0" fontId="6" fillId="12" borderId="4" xfId="0" applyFont="1" applyFill="1" applyBorder="1" applyAlignment="1">
      <alignment horizontal="center"/>
    </xf>
    <xf numFmtId="0" fontId="6" fillId="12" borderId="5" xfId="0" applyFont="1" applyFill="1" applyBorder="1" applyAlignment="1">
      <alignment horizontal="center"/>
    </xf>
    <xf numFmtId="0" fontId="6" fillId="12" borderId="3" xfId="0" applyFont="1" applyFill="1" applyBorder="1" applyAlignment="1">
      <alignment horizontal="center"/>
    </xf>
    <xf numFmtId="0" fontId="6" fillId="20" borderId="4" xfId="0" applyFont="1" applyFill="1" applyBorder="1" applyAlignment="1">
      <alignment horizontal="center"/>
    </xf>
    <xf numFmtId="0" fontId="6" fillId="20" borderId="3" xfId="0" applyFont="1" applyFill="1" applyBorder="1" applyAlignment="1">
      <alignment horizontal="center"/>
    </xf>
    <xf numFmtId="0" fontId="6" fillId="11" borderId="4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 wrapText="1"/>
    </xf>
    <xf numFmtId="0" fontId="6" fillId="15" borderId="4" xfId="0" applyFont="1" applyFill="1" applyBorder="1" applyAlignment="1">
      <alignment horizontal="center"/>
    </xf>
    <xf numFmtId="0" fontId="6" fillId="15" borderId="5" xfId="0" applyFont="1" applyFill="1" applyBorder="1" applyAlignment="1">
      <alignment horizontal="center"/>
    </xf>
    <xf numFmtId="0" fontId="6" fillId="15" borderId="3" xfId="0" applyFont="1" applyFill="1" applyBorder="1" applyAlignment="1">
      <alignment horizontal="center"/>
    </xf>
    <xf numFmtId="0" fontId="22" fillId="8" borderId="9" xfId="0" applyFont="1" applyFill="1" applyBorder="1" applyAlignment="1">
      <alignment horizontal="center" vertical="center"/>
    </xf>
    <xf numFmtId="0" fontId="22" fillId="8" borderId="13" xfId="0" applyFont="1" applyFill="1" applyBorder="1" applyAlignment="1">
      <alignment horizontal="center" vertical="center"/>
    </xf>
    <xf numFmtId="0" fontId="22" fillId="8" borderId="10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13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1" fontId="6" fillId="0" borderId="1" xfId="0" applyNumberFormat="1" applyFont="1" applyBorder="1" applyAlignment="1">
      <alignment horizontal="left" vertical="center"/>
    </xf>
    <xf numFmtId="0" fontId="6" fillId="10" borderId="4" xfId="0" applyFont="1" applyFill="1" applyBorder="1" applyAlignment="1">
      <alignment horizontal="left"/>
    </xf>
    <xf numFmtId="0" fontId="6" fillId="10" borderId="3" xfId="0" applyFont="1" applyFill="1" applyBorder="1" applyAlignment="1">
      <alignment horizontal="left"/>
    </xf>
    <xf numFmtId="0" fontId="6" fillId="14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6" fillId="7" borderId="4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20" borderId="1" xfId="0" applyFont="1" applyFill="1" applyBorder="1" applyAlignment="1">
      <alignment horizontal="center"/>
    </xf>
    <xf numFmtId="0" fontId="6" fillId="20" borderId="4" xfId="0" applyNumberFormat="1" applyFont="1" applyFill="1" applyBorder="1" applyAlignment="1">
      <alignment horizontal="left"/>
    </xf>
    <xf numFmtId="0" fontId="6" fillId="20" borderId="3" xfId="0" applyNumberFormat="1" applyFont="1" applyFill="1" applyBorder="1" applyAlignment="1">
      <alignment horizontal="left"/>
    </xf>
    <xf numFmtId="0" fontId="25" fillId="7" borderId="71" xfId="279" applyFont="1" applyFill="1" applyBorder="1" applyAlignment="1">
      <alignment horizontal="center"/>
    </xf>
    <xf numFmtId="0" fontId="25" fillId="7" borderId="72" xfId="279" applyFont="1" applyFill="1" applyBorder="1" applyAlignment="1">
      <alignment horizontal="center"/>
    </xf>
    <xf numFmtId="0" fontId="25" fillId="7" borderId="70" xfId="279" applyFont="1" applyFill="1" applyBorder="1" applyAlignment="1">
      <alignment horizontal="center"/>
    </xf>
    <xf numFmtId="8" fontId="25" fillId="7" borderId="73" xfId="279" applyNumberFormat="1" applyFont="1" applyFill="1" applyBorder="1" applyAlignment="1">
      <alignment horizontal="center"/>
    </xf>
    <xf numFmtId="8" fontId="25" fillId="7" borderId="70" xfId="279" applyNumberFormat="1" applyFont="1" applyFill="1" applyBorder="1" applyAlignment="1">
      <alignment horizontal="center"/>
    </xf>
    <xf numFmtId="0" fontId="25" fillId="7" borderId="48" xfId="279" applyFont="1" applyFill="1" applyBorder="1" applyAlignment="1">
      <alignment horizontal="center"/>
    </xf>
    <xf numFmtId="0" fontId="25" fillId="7" borderId="74" xfId="279" applyFont="1" applyFill="1" applyBorder="1" applyAlignment="1">
      <alignment horizontal="center"/>
    </xf>
    <xf numFmtId="0" fontId="25" fillId="7" borderId="49" xfId="279" applyFont="1" applyFill="1" applyBorder="1" applyAlignment="1">
      <alignment horizontal="center"/>
    </xf>
    <xf numFmtId="0" fontId="25" fillId="7" borderId="69" xfId="279" applyFont="1" applyFill="1" applyBorder="1" applyAlignment="1">
      <alignment horizontal="center"/>
    </xf>
    <xf numFmtId="0" fontId="25" fillId="7" borderId="75" xfId="279" applyFont="1" applyFill="1" applyBorder="1" applyAlignment="1">
      <alignment horizontal="center"/>
    </xf>
    <xf numFmtId="0" fontId="25" fillId="7" borderId="67" xfId="279" applyFont="1" applyFill="1" applyBorder="1" applyAlignment="1">
      <alignment horizontal="center"/>
    </xf>
    <xf numFmtId="8" fontId="25" fillId="7" borderId="65" xfId="279" applyNumberFormat="1" applyFont="1" applyFill="1" applyBorder="1" applyAlignment="1">
      <alignment horizontal="center"/>
    </xf>
    <xf numFmtId="8" fontId="25" fillId="7" borderId="67" xfId="279" applyNumberFormat="1" applyFont="1" applyFill="1" applyBorder="1" applyAlignment="1">
      <alignment horizontal="center"/>
    </xf>
    <xf numFmtId="8" fontId="25" fillId="7" borderId="64" xfId="279" applyNumberFormat="1" applyFont="1" applyFill="1" applyBorder="1" applyAlignment="1">
      <alignment horizontal="center"/>
    </xf>
    <xf numFmtId="8" fontId="25" fillId="7" borderId="49" xfId="279" applyNumberFormat="1" applyFont="1" applyFill="1" applyBorder="1" applyAlignment="1">
      <alignment horizontal="center"/>
    </xf>
    <xf numFmtId="0" fontId="25" fillId="0" borderId="48" xfId="279" applyFont="1" applyBorder="1" applyAlignment="1">
      <alignment horizontal="left"/>
    </xf>
    <xf numFmtId="0" fontId="25" fillId="0" borderId="49" xfId="279" applyFont="1" applyBorder="1" applyAlignment="1">
      <alignment horizontal="left"/>
    </xf>
    <xf numFmtId="0" fontId="25" fillId="0" borderId="55" xfId="279" applyFont="1" applyBorder="1" applyAlignment="1">
      <alignment horizontal="left"/>
    </xf>
    <xf numFmtId="0" fontId="25" fillId="0" borderId="56" xfId="279" applyFont="1" applyBorder="1" applyAlignment="1">
      <alignment horizontal="left"/>
    </xf>
    <xf numFmtId="0" fontId="25" fillId="0" borderId="0" xfId="279" applyFont="1" applyFill="1" applyBorder="1"/>
    <xf numFmtId="0" fontId="20" fillId="2" borderId="4" xfId="279" applyFont="1" applyFill="1" applyBorder="1" applyAlignment="1">
      <alignment horizontal="center"/>
    </xf>
    <xf numFmtId="0" fontId="20" fillId="2" borderId="5" xfId="279" applyFont="1" applyFill="1" applyBorder="1" applyAlignment="1">
      <alignment horizontal="center"/>
    </xf>
    <xf numFmtId="0" fontId="20" fillId="2" borderId="3" xfId="279" applyFont="1" applyFill="1" applyBorder="1" applyAlignment="1">
      <alignment horizontal="center"/>
    </xf>
    <xf numFmtId="0" fontId="20" fillId="2" borderId="1" xfId="279" applyFont="1" applyFill="1" applyBorder="1" applyAlignment="1">
      <alignment horizontal="center"/>
    </xf>
    <xf numFmtId="0" fontId="25" fillId="0" borderId="4" xfId="279" applyFont="1" applyBorder="1" applyAlignment="1">
      <alignment horizontal="right"/>
    </xf>
    <xf numFmtId="0" fontId="25" fillId="0" borderId="3" xfId="279" applyFont="1" applyBorder="1" applyAlignment="1">
      <alignment horizontal="right"/>
    </xf>
    <xf numFmtId="0" fontId="20" fillId="17" borderId="34" xfId="279" applyFont="1" applyFill="1" applyBorder="1" applyAlignment="1">
      <alignment horizontal="center" vertical="center" wrapText="1"/>
    </xf>
    <xf numFmtId="0" fontId="20" fillId="17" borderId="35" xfId="279" applyFont="1" applyFill="1" applyBorder="1" applyAlignment="1">
      <alignment horizontal="center" vertical="center" wrapText="1"/>
    </xf>
    <xf numFmtId="0" fontId="25" fillId="0" borderId="1" xfId="279" applyFont="1" applyBorder="1" applyAlignment="1">
      <alignment horizontal="right"/>
    </xf>
    <xf numFmtId="0" fontId="25" fillId="0" borderId="0" xfId="279" applyFont="1" applyBorder="1" applyAlignment="1">
      <alignment horizontal="center"/>
    </xf>
    <xf numFmtId="0" fontId="20" fillId="17" borderId="37" xfId="279" applyFont="1" applyFill="1" applyBorder="1" applyAlignment="1">
      <alignment horizontal="center" vertical="center"/>
    </xf>
    <xf numFmtId="0" fontId="20" fillId="17" borderId="38" xfId="279" applyFont="1" applyFill="1" applyBorder="1" applyAlignment="1">
      <alignment horizontal="center" vertical="center"/>
    </xf>
    <xf numFmtId="0" fontId="25" fillId="0" borderId="42" xfId="279" applyFont="1" applyBorder="1" applyAlignment="1">
      <alignment horizontal="left"/>
    </xf>
    <xf numFmtId="0" fontId="25" fillId="0" borderId="43" xfId="279" applyFont="1" applyBorder="1" applyAlignment="1">
      <alignment horizontal="left"/>
    </xf>
    <xf numFmtId="0" fontId="13" fillId="7" borderId="1" xfId="277" applyFont="1" applyFill="1" applyBorder="1" applyAlignment="1">
      <alignment horizontal="center" vertical="center" wrapText="1"/>
    </xf>
    <xf numFmtId="0" fontId="11" fillId="0" borderId="27" xfId="277" applyFont="1" applyBorder="1" applyAlignment="1">
      <alignment horizontal="center" wrapText="1"/>
    </xf>
    <xf numFmtId="0" fontId="11" fillId="0" borderId="76" xfId="277" applyFont="1" applyBorder="1" applyAlignment="1">
      <alignment horizontal="center" wrapText="1"/>
    </xf>
    <xf numFmtId="0" fontId="11" fillId="7" borderId="9" xfId="277" applyFont="1" applyFill="1" applyBorder="1" applyAlignment="1">
      <alignment horizontal="center" wrapText="1"/>
    </xf>
    <xf numFmtId="0" fontId="11" fillId="0" borderId="27" xfId="277" applyFont="1" applyBorder="1" applyAlignment="1">
      <alignment horizontal="center" vertical="center" wrapText="1"/>
    </xf>
    <xf numFmtId="0" fontId="11" fillId="0" borderId="76" xfId="277" applyFont="1" applyBorder="1" applyAlignment="1">
      <alignment horizontal="center" vertical="center" wrapText="1"/>
    </xf>
    <xf numFmtId="0" fontId="11" fillId="0" borderId="28" xfId="277" applyFont="1" applyBorder="1" applyAlignment="1">
      <alignment horizontal="center" wrapText="1"/>
    </xf>
    <xf numFmtId="0" fontId="11" fillId="0" borderId="29" xfId="277" applyFont="1" applyBorder="1" applyAlignment="1">
      <alignment horizontal="center" wrapText="1"/>
    </xf>
    <xf numFmtId="0" fontId="11" fillId="0" borderId="30" xfId="277" applyFont="1" applyBorder="1" applyAlignment="1">
      <alignment horizontal="center" wrapText="1"/>
    </xf>
    <xf numFmtId="0" fontId="11" fillId="0" borderId="31" xfId="277" applyFont="1" applyBorder="1" applyAlignment="1">
      <alignment horizontal="center" vertical="center" wrapText="1"/>
    </xf>
    <xf numFmtId="0" fontId="11" fillId="0" borderId="79" xfId="277" applyFont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/>
    </xf>
    <xf numFmtId="166" fontId="15" fillId="0" borderId="0" xfId="0" applyNumberFormat="1" applyFont="1" applyFill="1" applyAlignment="1">
      <alignment horizontal="center"/>
    </xf>
    <xf numFmtId="166" fontId="15" fillId="0" borderId="2" xfId="0" applyNumberFormat="1" applyFont="1" applyFill="1" applyBorder="1" applyAlignment="1">
      <alignment horizontal="center"/>
    </xf>
  </cellXfs>
  <cellStyles count="283">
    <cellStyle name="Currency 2" xfId="281" xr:uid="{00000000-0005-0000-0000-000000000000}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8" builtinId="8"/>
    <cellStyle name="Normal" xfId="0" builtinId="0"/>
    <cellStyle name="Normal 2" xfId="277" xr:uid="{00000000-0005-0000-0000-000017010000}"/>
    <cellStyle name="Normal 3" xfId="279" xr:uid="{00000000-0005-0000-0000-000018010000}"/>
    <cellStyle name="Percent" xfId="282" builtinId="5"/>
    <cellStyle name="Percent 2" xfId="280" xr:uid="{00000000-0005-0000-0000-00001A010000}"/>
  </cellStyles>
  <dxfs count="0"/>
  <tableStyles count="0" defaultTableStyle="TableStyleMedium9" defaultPivotStyle="PivotStyleMedium4"/>
  <colors>
    <mruColors>
      <color rgb="FF779DCB"/>
      <color rgb="FF88A9D2"/>
      <color rgb="FFABC3DF"/>
      <color rgb="FFA6BFDE"/>
      <color rgb="FFC2D3E8"/>
      <color rgb="FFBFD1E7"/>
      <color rgb="FFD5E1EF"/>
      <color rgb="FF90AFD4"/>
      <color rgb="FF6792C5"/>
      <color rgb="FF7A9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research.ufl.edu/dsp/proposals/budgeting/fringe-benefits.html" TargetMode="External"/><Relationship Id="rId3" Type="http://schemas.openxmlformats.org/officeDocument/2006/relationships/hyperlink" Target="https://research.ufl.edu/dsp/proposals/budgeting/salaries-wages.html" TargetMode="External"/><Relationship Id="rId7" Type="http://schemas.openxmlformats.org/officeDocument/2006/relationships/hyperlink" Target="https://research.ufl.edu/dsp/proposals/budgeting/fringe-benefits.html" TargetMode="External"/><Relationship Id="rId2" Type="http://schemas.openxmlformats.org/officeDocument/2006/relationships/hyperlink" Target="https://research.ufl.edu/dsp/proposals/budgeting/direct-costs.html" TargetMode="External"/><Relationship Id="rId1" Type="http://schemas.openxmlformats.org/officeDocument/2006/relationships/hyperlink" Target="https://research.ufl.edu/dsp/proposals/budgeting/fa-rates-idc.html" TargetMode="External"/><Relationship Id="rId6" Type="http://schemas.openxmlformats.org/officeDocument/2006/relationships/hyperlink" Target="https://research.ufl.edu/dsp/subcontracts/subawards-at-the-time-of-proposal-processing.html" TargetMode="External"/><Relationship Id="rId5" Type="http://schemas.openxmlformats.org/officeDocument/2006/relationships/hyperlink" Target="https://research.ufl.edu/dsp/proposals/budgeting/graduate-student-salary-tuition-costs.html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research.ufl.edu/dsp/proposals/eligibility-to-submit-a-proposal-for-external-funding.html" TargetMode="External"/><Relationship Id="rId9" Type="http://schemas.openxmlformats.org/officeDocument/2006/relationships/hyperlink" Target="https://research.ufl.edu/dsp/proposals/budgeting/direct-costs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a.ufl.edu/departments/travel/" TargetMode="External"/><Relationship Id="rId2" Type="http://schemas.openxmlformats.org/officeDocument/2006/relationships/hyperlink" Target="https://research.ufl.edu/compliance/animal-subjects.html" TargetMode="External"/><Relationship Id="rId1" Type="http://schemas.openxmlformats.org/officeDocument/2006/relationships/hyperlink" Target="https://research.ufl.edu/dsp/proposals/budgeting/direct-costs.html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fa.ufl.edu/directive-categories/foreign-travel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.bin"/><Relationship Id="rId3" Type="http://schemas.openxmlformats.org/officeDocument/2006/relationships/hyperlink" Target="https://research.ufl.edu/dsp/proposals/budgeting/salaries-wages.html" TargetMode="External"/><Relationship Id="rId7" Type="http://schemas.openxmlformats.org/officeDocument/2006/relationships/hyperlink" Target="https://hr.ufl.edu/memoranda/non-student-hourly-ops-policy-now-available/" TargetMode="External"/><Relationship Id="rId2" Type="http://schemas.openxmlformats.org/officeDocument/2006/relationships/hyperlink" Target="https://research.ufl.edu/dsp/proposals/budgeting/fa-rates-idc.html" TargetMode="External"/><Relationship Id="rId1" Type="http://schemas.openxmlformats.org/officeDocument/2006/relationships/hyperlink" Target="https://research.ufl.edu/dsp/proposals/budgeting/fringe-benefits.html" TargetMode="External"/><Relationship Id="rId6" Type="http://schemas.openxmlformats.org/officeDocument/2006/relationships/hyperlink" Target="https://research.ufl.edu/dsp/subcontracts/subawards-at-the-time-of-proposal-processing.html" TargetMode="External"/><Relationship Id="rId5" Type="http://schemas.openxmlformats.org/officeDocument/2006/relationships/hyperlink" Target="https://research.ufl.edu/dsp/proposals/budgeting/graduate-student-salary-tuition-costs.html" TargetMode="External"/><Relationship Id="rId4" Type="http://schemas.openxmlformats.org/officeDocument/2006/relationships/hyperlink" Target="https://research.ufl.edu/dsp/proposals/eligibility-to-submit-a-proposal-for-external-funding.htm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research.ufl.edu/dsp/proposals/budgeting/salaries-wages.html" TargetMode="External"/><Relationship Id="rId7" Type="http://schemas.openxmlformats.org/officeDocument/2006/relationships/hyperlink" Target="https://hr.ufl.edu/memoranda/non-student-hourly-ops-policy-now-available/" TargetMode="External"/><Relationship Id="rId2" Type="http://schemas.openxmlformats.org/officeDocument/2006/relationships/hyperlink" Target="https://research.ufl.edu/dsp/proposals/budgeting/fa-rates-idc.html" TargetMode="External"/><Relationship Id="rId1" Type="http://schemas.openxmlformats.org/officeDocument/2006/relationships/hyperlink" Target="https://research.ufl.edu/dsp/proposals/budgeting/fringe-benefits.html" TargetMode="External"/><Relationship Id="rId6" Type="http://schemas.openxmlformats.org/officeDocument/2006/relationships/hyperlink" Target="https://research.ufl.edu/dsp/subcontracts/subawards-at-the-time-of-proposal-processing.html" TargetMode="External"/><Relationship Id="rId5" Type="http://schemas.openxmlformats.org/officeDocument/2006/relationships/hyperlink" Target="https://research.ufl.edu/dsp/proposals/budgeting/graduate-student-salary-tuition-costs.html" TargetMode="External"/><Relationship Id="rId4" Type="http://schemas.openxmlformats.org/officeDocument/2006/relationships/hyperlink" Target="https://research.ufl.edu/dsp/proposals/eligibility-to-submit-a-proposal-for-external-funding.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research.ufl.edu/dsp/proposals/budgeting/salaries-wages.html" TargetMode="External"/><Relationship Id="rId7" Type="http://schemas.openxmlformats.org/officeDocument/2006/relationships/hyperlink" Target="https://hr.ufl.edu/memoranda/non-student-hourly-ops-policy-now-available/" TargetMode="External"/><Relationship Id="rId2" Type="http://schemas.openxmlformats.org/officeDocument/2006/relationships/hyperlink" Target="https://research.ufl.edu/dsp/proposals/budgeting/fa-rates-idc.html" TargetMode="External"/><Relationship Id="rId1" Type="http://schemas.openxmlformats.org/officeDocument/2006/relationships/hyperlink" Target="https://research.ufl.edu/dsp/proposals/budgeting/fringe-benefits.html" TargetMode="External"/><Relationship Id="rId6" Type="http://schemas.openxmlformats.org/officeDocument/2006/relationships/hyperlink" Target="https://research.ufl.edu/dsp/subcontracts/subawards-at-the-time-of-proposal-processing.html" TargetMode="External"/><Relationship Id="rId5" Type="http://schemas.openxmlformats.org/officeDocument/2006/relationships/hyperlink" Target="https://research.ufl.edu/dsp/proposals/budgeting/graduate-student-salary-tuition-costs.html" TargetMode="External"/><Relationship Id="rId4" Type="http://schemas.openxmlformats.org/officeDocument/2006/relationships/hyperlink" Target="https://research.ufl.edu/dsp/proposals/eligibility-to-submit-a-proposal-for-external-funding.htm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research.ufl.edu/dsp/proposals/budgeting/salaries-wages.html" TargetMode="External"/><Relationship Id="rId7" Type="http://schemas.openxmlformats.org/officeDocument/2006/relationships/hyperlink" Target="https://hr.ufl.edu/memoranda/non-student-hourly-ops-policy-now-available/" TargetMode="External"/><Relationship Id="rId2" Type="http://schemas.openxmlformats.org/officeDocument/2006/relationships/hyperlink" Target="https://research.ufl.edu/dsp/proposals/budgeting/fa-rates-idc.html" TargetMode="External"/><Relationship Id="rId1" Type="http://schemas.openxmlformats.org/officeDocument/2006/relationships/hyperlink" Target="https://research.ufl.edu/dsp/proposals/budgeting/fringe-benefits.html" TargetMode="External"/><Relationship Id="rId6" Type="http://schemas.openxmlformats.org/officeDocument/2006/relationships/hyperlink" Target="https://research.ufl.edu/dsp/subcontracts/subawards-at-the-time-of-proposal-processing.html" TargetMode="External"/><Relationship Id="rId5" Type="http://schemas.openxmlformats.org/officeDocument/2006/relationships/hyperlink" Target="https://research.ufl.edu/dsp/proposals/budgeting/graduate-student-salary-tuition-costs.html" TargetMode="External"/><Relationship Id="rId4" Type="http://schemas.openxmlformats.org/officeDocument/2006/relationships/hyperlink" Target="https://research.ufl.edu/dsp/proposals/eligibility-to-submit-a-proposal-for-external-funding.html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research.ufl.edu/dsp/proposals/budgeting/salaries-wages.html" TargetMode="External"/><Relationship Id="rId7" Type="http://schemas.openxmlformats.org/officeDocument/2006/relationships/hyperlink" Target="https://hr.ufl.edu/memoranda/non-student-hourly-ops-policy-now-available/" TargetMode="External"/><Relationship Id="rId2" Type="http://schemas.openxmlformats.org/officeDocument/2006/relationships/hyperlink" Target="https://research.ufl.edu/dsp/proposals/budgeting/fa-rates-idc.html" TargetMode="External"/><Relationship Id="rId1" Type="http://schemas.openxmlformats.org/officeDocument/2006/relationships/hyperlink" Target="https://research.ufl.edu/dsp/proposals/budgeting/fringe-benefits.html" TargetMode="External"/><Relationship Id="rId6" Type="http://schemas.openxmlformats.org/officeDocument/2006/relationships/hyperlink" Target="https://research.ufl.edu/dsp/subcontracts/subawards-at-the-time-of-proposal-processing.html" TargetMode="External"/><Relationship Id="rId5" Type="http://schemas.openxmlformats.org/officeDocument/2006/relationships/hyperlink" Target="https://research.ufl.edu/dsp/proposals/budgeting/graduate-student-salary-tuition-costs.html" TargetMode="External"/><Relationship Id="rId4" Type="http://schemas.openxmlformats.org/officeDocument/2006/relationships/hyperlink" Target="https://research.ufl.edu/dsp/proposals/eligibility-to-submit-a-proposal-for-external-funding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P319"/>
  <sheetViews>
    <sheetView tabSelected="1"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O5" sqref="O5"/>
    </sheetView>
  </sheetViews>
  <sheetFormatPr defaultColWidth="11.09765625" defaultRowHeight="12" outlineLevelRow="1" outlineLevelCol="1"/>
  <cols>
    <col min="1" max="1" width="23.8984375" style="425" customWidth="1"/>
    <col min="2" max="2" width="11.8984375" style="425" customWidth="1"/>
    <col min="3" max="3" width="9.5" style="425" customWidth="1"/>
    <col min="4" max="4" width="14.59765625" style="425" customWidth="1"/>
    <col min="5" max="5" width="11.59765625" style="425" hidden="1" customWidth="1"/>
    <col min="6" max="6" width="15.59765625" style="425" customWidth="1"/>
    <col min="7" max="7" width="8" style="425" customWidth="1"/>
    <col min="8" max="8" width="13.3984375" style="425" bestFit="1" customWidth="1"/>
    <col min="9" max="9" width="12.69921875" style="425" customWidth="1"/>
    <col min="10" max="10" width="7.796875" style="425" customWidth="1"/>
    <col min="11" max="11" width="13.3984375" style="425" customWidth="1"/>
    <col min="12" max="12" width="12" style="425" customWidth="1"/>
    <col min="13" max="13" width="7.69921875" style="425" customWidth="1"/>
    <col min="14" max="14" width="11.5" style="425" bestFit="1" customWidth="1"/>
    <col min="15" max="15" width="12.3984375" style="425" customWidth="1"/>
    <col min="16" max="16" width="8.09765625" style="425" customWidth="1"/>
    <col min="17" max="17" width="13.3984375" style="425" customWidth="1"/>
    <col min="18" max="18" width="11.8984375" style="425" customWidth="1"/>
    <col min="19" max="19" width="8.69921875" style="425" customWidth="1"/>
    <col min="20" max="20" width="13.3984375" style="425" customWidth="1"/>
    <col min="21" max="29" width="13.3984375" style="425" hidden="1" customWidth="1" outlineLevel="1"/>
    <col min="30" max="30" width="14.09765625" style="425" customWidth="1" collapsed="1"/>
    <col min="31" max="31" width="11.09765625" style="425"/>
    <col min="32" max="32" width="13.3984375" style="425" bestFit="1" customWidth="1"/>
    <col min="33" max="33" width="15.5" style="425" hidden="1" customWidth="1"/>
    <col min="34" max="34" width="14.59765625" style="425" hidden="1" customWidth="1"/>
    <col min="35" max="36" width="14.5" style="425" hidden="1" customWidth="1"/>
    <col min="37" max="37" width="13.5" style="425" hidden="1" customWidth="1"/>
    <col min="38" max="38" width="13.59765625" style="425" hidden="1" customWidth="1"/>
    <col min="39" max="39" width="15.69921875" style="425" hidden="1" customWidth="1"/>
    <col min="40" max="40" width="14.5" style="425" hidden="1" customWidth="1"/>
    <col min="41" max="41" width="17.59765625" style="425" hidden="1" customWidth="1"/>
    <col min="42" max="16384" width="11.09765625" style="425"/>
  </cols>
  <sheetData>
    <row r="1" spans="1:41" s="329" customFormat="1">
      <c r="A1" s="328" t="s">
        <v>40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</row>
    <row r="2" spans="1:41" s="333" customFormat="1">
      <c r="A2" s="330" t="s">
        <v>39</v>
      </c>
      <c r="B2" s="331" t="s">
        <v>241</v>
      </c>
      <c r="C2" s="332"/>
      <c r="AD2" s="334"/>
    </row>
    <row r="3" spans="1:41" s="333" customFormat="1">
      <c r="A3" s="335" t="s">
        <v>82</v>
      </c>
      <c r="B3" s="336">
        <v>199300</v>
      </c>
      <c r="C3" s="337"/>
      <c r="D3" s="338"/>
      <c r="E3" s="338"/>
      <c r="AD3" s="334"/>
    </row>
    <row r="4" spans="1:41" s="333" customFormat="1">
      <c r="A4" s="330" t="s">
        <v>76</v>
      </c>
      <c r="B4" s="339">
        <v>44743</v>
      </c>
      <c r="C4" s="340"/>
      <c r="D4" s="340"/>
      <c r="E4" s="340"/>
      <c r="AD4" s="334"/>
    </row>
    <row r="5" spans="1:41" s="333" customFormat="1">
      <c r="A5" s="330" t="s">
        <v>77</v>
      </c>
      <c r="B5" s="339">
        <v>46568</v>
      </c>
      <c r="C5" s="340"/>
      <c r="D5" s="340"/>
      <c r="E5" s="340"/>
      <c r="AD5" s="334"/>
    </row>
    <row r="6" spans="1:41" s="333" customFormat="1">
      <c r="A6" s="341" t="s">
        <v>87</v>
      </c>
      <c r="B6" s="342">
        <v>0.03</v>
      </c>
      <c r="C6" s="343"/>
      <c r="D6" s="340"/>
      <c r="E6" s="340"/>
      <c r="F6" s="344"/>
      <c r="AD6" s="334"/>
    </row>
    <row r="7" spans="1:41" s="333" customFormat="1" hidden="1">
      <c r="A7" s="345" t="s">
        <v>78</v>
      </c>
      <c r="B7" s="346">
        <f>ROUND((B5-B4)/365,2)</f>
        <v>5</v>
      </c>
      <c r="C7" s="347"/>
      <c r="D7" s="340"/>
      <c r="E7" s="340"/>
      <c r="F7" s="494">
        <f>IF(B7&gt;0,IF(B7&lt;1,B7,1),0)</f>
        <v>1</v>
      </c>
      <c r="G7" s="494"/>
      <c r="H7" s="494"/>
      <c r="I7" s="499">
        <f>IF(B7&lt;=1,0,IF(B7&lt;2,B7-1,1))</f>
        <v>1</v>
      </c>
      <c r="J7" s="499"/>
      <c r="K7" s="499"/>
      <c r="L7" s="348">
        <f>IF(B7&lt;=2,0,IF(B7&lt;3,B7-2,1))</f>
        <v>1</v>
      </c>
      <c r="M7" s="349"/>
      <c r="N7" s="349"/>
      <c r="O7" s="348">
        <f>IF(B7&lt;=3,0,IF(B7&lt;4,B7-3,1))</f>
        <v>1</v>
      </c>
      <c r="P7" s="349"/>
      <c r="Q7" s="349"/>
      <c r="R7" s="348">
        <f>IF(B7&lt;=4,0,IF(B7&lt;5,B7-4,1))</f>
        <v>1</v>
      </c>
      <c r="S7" s="349"/>
      <c r="T7" s="349"/>
      <c r="U7" s="494">
        <f>IF(B7&lt;=5,0,IF(B7&lt;6,B7-5,1))</f>
        <v>0</v>
      </c>
      <c r="V7" s="494"/>
      <c r="W7" s="494"/>
      <c r="X7" s="494">
        <f>IF(B7&lt;=6,0,IF(B7&lt;7,B7-6,1))</f>
        <v>0</v>
      </c>
      <c r="Y7" s="494"/>
      <c r="Z7" s="494"/>
      <c r="AA7" s="494">
        <f>IF(B7&lt;=7,0,IF(B7&lt;8,B7-7,1))</f>
        <v>0</v>
      </c>
      <c r="AB7" s="494"/>
      <c r="AC7" s="494"/>
      <c r="AD7" s="334"/>
    </row>
    <row r="8" spans="1:41" s="333" customFormat="1" hidden="1">
      <c r="A8" s="345" t="s">
        <v>180</v>
      </c>
      <c r="B8" s="346">
        <f>B7*12</f>
        <v>60</v>
      </c>
      <c r="C8" s="347"/>
      <c r="D8" s="340"/>
      <c r="E8" s="340"/>
      <c r="F8" s="494">
        <f>F7*12</f>
        <v>12</v>
      </c>
      <c r="G8" s="494"/>
      <c r="H8" s="494"/>
      <c r="I8" s="494">
        <f>I7*12</f>
        <v>12</v>
      </c>
      <c r="J8" s="494"/>
      <c r="K8" s="494"/>
      <c r="L8" s="348">
        <f>L7*12</f>
        <v>12</v>
      </c>
      <c r="M8" s="349"/>
      <c r="N8" s="349"/>
      <c r="O8" s="348">
        <f>O7*12</f>
        <v>12</v>
      </c>
      <c r="P8" s="349"/>
      <c r="Q8" s="349"/>
      <c r="R8" s="348">
        <f>R7*12</f>
        <v>12</v>
      </c>
      <c r="S8" s="349"/>
      <c r="T8" s="349"/>
      <c r="U8" s="494">
        <f>U7*12</f>
        <v>0</v>
      </c>
      <c r="V8" s="494"/>
      <c r="W8" s="494"/>
      <c r="X8" s="494">
        <f>X7*12</f>
        <v>0</v>
      </c>
      <c r="Y8" s="494"/>
      <c r="Z8" s="494"/>
      <c r="AA8" s="494">
        <f>AA7*12</f>
        <v>0</v>
      </c>
      <c r="AB8" s="494"/>
      <c r="AC8" s="494"/>
    </row>
    <row r="9" spans="1:41" s="333" customFormat="1">
      <c r="A9" s="341"/>
      <c r="B9" s="332"/>
      <c r="C9" s="332"/>
      <c r="D9" s="350"/>
      <c r="E9" s="350"/>
      <c r="F9" s="495" t="s">
        <v>97</v>
      </c>
      <c r="G9" s="495"/>
      <c r="H9" s="495"/>
      <c r="I9" s="495" t="s">
        <v>98</v>
      </c>
      <c r="J9" s="495"/>
      <c r="K9" s="495"/>
      <c r="L9" s="495" t="s">
        <v>99</v>
      </c>
      <c r="M9" s="495"/>
      <c r="N9" s="495"/>
      <c r="O9" s="496" t="s">
        <v>4</v>
      </c>
      <c r="P9" s="497"/>
      <c r="Q9" s="498"/>
      <c r="R9" s="496" t="s">
        <v>5</v>
      </c>
      <c r="S9" s="497"/>
      <c r="T9" s="498"/>
      <c r="U9" s="495" t="s">
        <v>106</v>
      </c>
      <c r="V9" s="495"/>
      <c r="W9" s="495"/>
      <c r="X9" s="495" t="s">
        <v>107</v>
      </c>
      <c r="Y9" s="495"/>
      <c r="Z9" s="495"/>
      <c r="AA9" s="495" t="s">
        <v>108</v>
      </c>
      <c r="AB9" s="495"/>
      <c r="AC9" s="495"/>
      <c r="AD9" s="351" t="s">
        <v>22</v>
      </c>
      <c r="AE9" s="352"/>
      <c r="AG9" s="491" t="s">
        <v>197</v>
      </c>
      <c r="AH9" s="492"/>
      <c r="AI9" s="492"/>
      <c r="AJ9" s="492"/>
      <c r="AK9" s="492"/>
      <c r="AL9" s="492"/>
      <c r="AM9" s="492"/>
      <c r="AN9" s="492"/>
      <c r="AO9" s="493"/>
    </row>
    <row r="10" spans="1:41" s="333" customFormat="1">
      <c r="A10" s="353" t="s">
        <v>221</v>
      </c>
      <c r="B10" s="354" t="s">
        <v>75</v>
      </c>
      <c r="C10" s="355" t="s">
        <v>12</v>
      </c>
      <c r="D10" s="356" t="s">
        <v>84</v>
      </c>
      <c r="E10" s="356" t="s">
        <v>218</v>
      </c>
      <c r="F10" s="356" t="s">
        <v>74</v>
      </c>
      <c r="G10" s="356" t="s">
        <v>0</v>
      </c>
      <c r="H10" s="356" t="s">
        <v>103</v>
      </c>
      <c r="I10" s="356" t="s">
        <v>74</v>
      </c>
      <c r="J10" s="356" t="s">
        <v>0</v>
      </c>
      <c r="K10" s="356" t="s">
        <v>103</v>
      </c>
      <c r="L10" s="356" t="s">
        <v>74</v>
      </c>
      <c r="M10" s="356" t="s">
        <v>0</v>
      </c>
      <c r="N10" s="356" t="s">
        <v>103</v>
      </c>
      <c r="O10" s="356" t="s">
        <v>74</v>
      </c>
      <c r="P10" s="356" t="s">
        <v>0</v>
      </c>
      <c r="Q10" s="356" t="s">
        <v>103</v>
      </c>
      <c r="R10" s="356" t="s">
        <v>74</v>
      </c>
      <c r="S10" s="356" t="s">
        <v>0</v>
      </c>
      <c r="T10" s="356" t="s">
        <v>103</v>
      </c>
      <c r="U10" s="356" t="s">
        <v>74</v>
      </c>
      <c r="V10" s="356" t="s">
        <v>0</v>
      </c>
      <c r="W10" s="356" t="s">
        <v>103</v>
      </c>
      <c r="X10" s="356" t="s">
        <v>74</v>
      </c>
      <c r="Y10" s="356" t="s">
        <v>0</v>
      </c>
      <c r="Z10" s="356" t="s">
        <v>103</v>
      </c>
      <c r="AA10" s="356" t="s">
        <v>74</v>
      </c>
      <c r="AB10" s="356" t="s">
        <v>0</v>
      </c>
      <c r="AC10" s="356" t="s">
        <v>103</v>
      </c>
      <c r="AD10" s="357"/>
      <c r="AE10" s="334"/>
      <c r="AG10" s="358" t="s">
        <v>97</v>
      </c>
      <c r="AH10" s="358" t="s">
        <v>98</v>
      </c>
      <c r="AI10" s="358" t="s">
        <v>99</v>
      </c>
      <c r="AJ10" s="358" t="s">
        <v>100</v>
      </c>
      <c r="AK10" s="358" t="s">
        <v>101</v>
      </c>
      <c r="AL10" s="358" t="s">
        <v>198</v>
      </c>
      <c r="AM10" s="358" t="s">
        <v>199</v>
      </c>
      <c r="AN10" s="358" t="s">
        <v>200</v>
      </c>
      <c r="AO10" s="358" t="s">
        <v>157</v>
      </c>
    </row>
    <row r="11" spans="1:41" s="333" customFormat="1">
      <c r="A11" s="359"/>
      <c r="B11" s="360"/>
      <c r="C11" s="361" t="str">
        <f>IF(B11='Effort and OPS Salary'!$B$14,'Effort and OPS Salary'!$C$14:$C$14,IF(B11='Effort and OPS Salary'!$B$15,'Effort and OPS Salary'!$C$15:$C$15,""))</f>
        <v/>
      </c>
      <c r="D11" s="362">
        <v>0</v>
      </c>
      <c r="E11" s="362">
        <f>D11/12</f>
        <v>0</v>
      </c>
      <c r="F11" s="363">
        <v>0</v>
      </c>
      <c r="G11" s="364">
        <f>F11*12*$F$7</f>
        <v>0</v>
      </c>
      <c r="H11" s="365" t="str">
        <f t="shared" ref="H11:H20" si="0">IFERROR(ROUND(MIN(IF(CAP="none",1000000,CAP*G11/$F$8*F$7),D11*G11/$F$8*F$7),0)*(1+B$6)*(1+C11),"$0.00")</f>
        <v>$0.00</v>
      </c>
      <c r="I11" s="363">
        <f>F11</f>
        <v>0</v>
      </c>
      <c r="J11" s="364">
        <f>I11*12*$I$7</f>
        <v>0</v>
      </c>
      <c r="K11" s="365" t="str">
        <f t="shared" ref="K11:K20" si="1">IFERROR(ROUND(MIN(IF(CAP="none",1000000,CAP*J11/$I$8*I$7),D11*J11/$I$8*I$7),0)*(1+B$6)^2*(1+C11),"$0.00")</f>
        <v>$0.00</v>
      </c>
      <c r="L11" s="363">
        <f>F11</f>
        <v>0</v>
      </c>
      <c r="M11" s="364">
        <f t="shared" ref="M11:M20" si="2">L11*12*$L$7</f>
        <v>0</v>
      </c>
      <c r="N11" s="365" t="str">
        <f t="shared" ref="N11:N20" si="3">IFERROR(ROUND(MIN(IF(CAP="none",1000000,CAP*M11/$L$8*L$7),D11*M11/$L$8*L$7),0)*(1+B$6)^3*(1+C11),"$0.00")</f>
        <v>$0.00</v>
      </c>
      <c r="O11" s="363">
        <f>F11</f>
        <v>0</v>
      </c>
      <c r="P11" s="364">
        <f t="shared" ref="P11:P31" si="4">O11*12*$O$7</f>
        <v>0</v>
      </c>
      <c r="Q11" s="365" t="str">
        <f t="shared" ref="Q11:Q20" si="5">IFERROR(ROUND(MIN(IF(CAP="none",1000000,CAP*P11/$O$8*O$7),D11*P11/$O$8*O$7),0)*(1+B$6)^4*(1+C11),"$0.00")</f>
        <v>$0.00</v>
      </c>
      <c r="R11" s="363">
        <f>F11</f>
        <v>0</v>
      </c>
      <c r="S11" s="364">
        <f>R11*12*$R$7</f>
        <v>0</v>
      </c>
      <c r="T11" s="365" t="str">
        <f t="shared" ref="T11:T20" si="6">IFERROR(ROUND(MIN(IF(CAP="none",1000000,CAP*S11/$R$8*R$7),D11*S11/$R$8*R$7),0)*(1+B$6)^5*(1+C11),"$0.00")</f>
        <v>$0.00</v>
      </c>
      <c r="U11" s="363">
        <f t="shared" ref="U11:U20" si="7">I11</f>
        <v>0</v>
      </c>
      <c r="V11" s="364">
        <f>U11*12*$U$7</f>
        <v>0</v>
      </c>
      <c r="W11" s="365" t="str">
        <f t="shared" ref="W11:W20" si="8">IFERROR(ROUND(MIN(IF(CAP="none",1000000,CAP*V11/$U$8*U$7),D11*V11/$U$8*U$7),0)*(1+B$6)^6*(1+C11),"$0.00")</f>
        <v>$0.00</v>
      </c>
      <c r="X11" s="363">
        <f t="shared" ref="X11:X20" si="9">L11</f>
        <v>0</v>
      </c>
      <c r="Y11" s="364">
        <f>X11*12*$X$7</f>
        <v>0</v>
      </c>
      <c r="Z11" s="365" t="str">
        <f t="shared" ref="Z11:Z20" si="10">IFERROR(ROUND(MIN(IF(CAP="none",1000000,CAP*Y11/$X$8*X$7),D11*Y11/$X$8*X$7),0)*(1+B$6)^7*(1+C11),"$0.00")</f>
        <v>$0.00</v>
      </c>
      <c r="AA11" s="363">
        <f t="shared" ref="AA11:AA20" si="11">O11</f>
        <v>0</v>
      </c>
      <c r="AB11" s="364">
        <f>AA11*12*$AA$7</f>
        <v>0</v>
      </c>
      <c r="AC11" s="365" t="str">
        <f t="shared" ref="AC11:AC20" si="12">IFERROR(ROUND(MIN(IF(CAP="none",1000000,CAP*AB11/$AA$8*AA$7),D11*AB11/$AA$8*AA$7),0)*(1+B$6)^8*(1+C11),"$0.00")</f>
        <v>$0.00</v>
      </c>
      <c r="AD11" s="366">
        <f>H11+K11+N11+Q11+T11+W11+Z11+AC11</f>
        <v>0</v>
      </c>
      <c r="AE11" s="334"/>
      <c r="AG11" s="439" t="str">
        <f>IFERROR(ROUND(MIN(IF(CAP="none",1000000,CAP*G11/$F$8*F$7),D11*G11/$F$8*F$7),0)*C11,"$0.00")</f>
        <v>$0.00</v>
      </c>
      <c r="AH11" s="439" t="str">
        <f>IFERROR(ROUND(MIN(IF(CAP="none",1000000,CAP*J11/$I$8*I$7),D11*J11/$I$8*I$7),0)*(1+B$6)*C11,"$0.00")</f>
        <v>$0.00</v>
      </c>
      <c r="AI11" s="439" t="str">
        <f>IFERROR(ROUND(MIN(IF(CAP="none",1000000,CAP*M11/$L$8*L$7),D11*M11/$L$8*L$7),0)*(1+B$6)^2*C11,"$0.00")</f>
        <v>$0.00</v>
      </c>
      <c r="AJ11" s="439" t="str">
        <f t="shared" ref="AJ11:AJ31" si="13">IFERROR(ROUND(MIN(IF(CAP="none",1000000,CAP*P11/$O$8*O$7),D11*P11/$O$8*O$7),0)*(1+B$6)^4*C11,"$0.00")</f>
        <v>$0.00</v>
      </c>
      <c r="AK11" s="439" t="str">
        <f t="shared" ref="AK11:AK31" si="14">IFERROR(ROUND(MIN(IF(CAP="none",1000000,CAP*S11/$R$8*R$7),D11*S11/$R$8*R$7),0)*(1+B$6)^5*C11,"$0.00")</f>
        <v>$0.00</v>
      </c>
      <c r="AL11" s="439" t="str">
        <f t="shared" ref="AL11:AL31" si="15">IFERROR(ROUND(MIN(IF(CAP="none",1000000,CAP*V11/$U$8*U$7),H11*V11/$U$8*U$7),0)*(1+B$6)^6*C11,"$0.00")</f>
        <v>$0.00</v>
      </c>
      <c r="AM11" s="439" t="str">
        <f t="shared" ref="AM11:AM31" si="16">IFERROR(ROUND(MIN(IF(CAP="none",1000000,CAP*Y11/$X$8*X$7),K11*Y11/$X$8*X$7),0)*(1+B$6)^7*C11,"$0.00")</f>
        <v>$0.00</v>
      </c>
      <c r="AN11" s="446" t="str">
        <f t="shared" ref="AN11:AN26" si="17">IFERROR(ROUND(MIN(IF(CAP="none",1000000,CAP*AB11/$AA$8*AA$7),N11*AB11/$AA$8*AA$7),0)*(1+B$6)^8*C11,"$0.00")</f>
        <v>$0.00</v>
      </c>
      <c r="AO11" s="367">
        <f>SUM(AG11:AN11)</f>
        <v>0</v>
      </c>
    </row>
    <row r="12" spans="1:41" s="333" customFormat="1">
      <c r="A12" s="359"/>
      <c r="B12" s="360"/>
      <c r="C12" s="361" t="str">
        <f>IF(B12='Effort and OPS Salary'!$B$14,'Effort and OPS Salary'!$C$14:$C$14,IF(B12='Effort and OPS Salary'!$B$15,'Effort and OPS Salary'!$C$15:$C$15,""))</f>
        <v/>
      </c>
      <c r="D12" s="362">
        <v>0</v>
      </c>
      <c r="E12" s="362">
        <f t="shared" ref="E12:E20" si="18">D12/12</f>
        <v>0</v>
      </c>
      <c r="F12" s="363">
        <v>0</v>
      </c>
      <c r="G12" s="364">
        <f t="shared" ref="G12:G20" si="19">F12*12*$F$7</f>
        <v>0</v>
      </c>
      <c r="H12" s="365" t="str">
        <f t="shared" si="0"/>
        <v>$0.00</v>
      </c>
      <c r="I12" s="363">
        <f>F12</f>
        <v>0</v>
      </c>
      <c r="J12" s="364">
        <f t="shared" ref="J12:J20" si="20">I12*12*$I$7</f>
        <v>0</v>
      </c>
      <c r="K12" s="365" t="str">
        <f t="shared" si="1"/>
        <v>$0.00</v>
      </c>
      <c r="L12" s="363">
        <f>F12</f>
        <v>0</v>
      </c>
      <c r="M12" s="364">
        <f t="shared" si="2"/>
        <v>0</v>
      </c>
      <c r="N12" s="365" t="str">
        <f t="shared" si="3"/>
        <v>$0.00</v>
      </c>
      <c r="O12" s="363">
        <f>F12</f>
        <v>0</v>
      </c>
      <c r="P12" s="364">
        <f t="shared" si="4"/>
        <v>0</v>
      </c>
      <c r="Q12" s="365" t="str">
        <f t="shared" si="5"/>
        <v>$0.00</v>
      </c>
      <c r="R12" s="363">
        <f>F12</f>
        <v>0</v>
      </c>
      <c r="S12" s="364">
        <f t="shared" ref="S12:S31" si="21">R12*12*$R$7</f>
        <v>0</v>
      </c>
      <c r="T12" s="365" t="str">
        <f t="shared" si="6"/>
        <v>$0.00</v>
      </c>
      <c r="U12" s="363">
        <f t="shared" si="7"/>
        <v>0</v>
      </c>
      <c r="V12" s="364">
        <f t="shared" ref="V12:V20" si="22">U12*12*$U$7</f>
        <v>0</v>
      </c>
      <c r="W12" s="365" t="str">
        <f t="shared" si="8"/>
        <v>$0.00</v>
      </c>
      <c r="X12" s="363">
        <f t="shared" si="9"/>
        <v>0</v>
      </c>
      <c r="Y12" s="364">
        <f t="shared" ref="Y12:Y20" si="23">X12*12*$X$7</f>
        <v>0</v>
      </c>
      <c r="Z12" s="365" t="str">
        <f t="shared" si="10"/>
        <v>$0.00</v>
      </c>
      <c r="AA12" s="363">
        <f t="shared" si="11"/>
        <v>0</v>
      </c>
      <c r="AB12" s="364">
        <f t="shared" ref="AB12:AB20" si="24">AA12*12*$AA$7</f>
        <v>0</v>
      </c>
      <c r="AC12" s="365" t="str">
        <f t="shared" si="12"/>
        <v>$0.00</v>
      </c>
      <c r="AD12" s="366">
        <f t="shared" ref="AD12:AD68" si="25">H12+K12+N12+Q12+T12+W12+Z12+AC12</f>
        <v>0</v>
      </c>
      <c r="AE12" s="334"/>
      <c r="AG12" s="439" t="str">
        <f t="shared" ref="AG12:AG31" si="26">IFERROR(ROUND(MIN(IF(CAP="none",1000000,CAP*G12/$F$8*F$7),D12*G12/$F$8*F$7),0)*(1+B$6)*C12,"$0.00")</f>
        <v>$0.00</v>
      </c>
      <c r="AH12" s="439" t="str">
        <f t="shared" ref="AH12:AH31" si="27">IFERROR(ROUND(MIN(IF(CAP="none",1000000,CAP*J12/$I$8*I$7),D12*J12/$I$8*I$7),0)*(1+B$6)^2*C12,"$0.00")</f>
        <v>$0.00</v>
      </c>
      <c r="AI12" s="439" t="str">
        <f t="shared" ref="AI12:AI31" si="28">IFERROR(ROUND(MIN(IF(CAP="none",1000000,CAP*M12/$L$8*L$7),D12*M12/$L$8*L$7),0)*(1+B$6)^3*C12,"$0.00")</f>
        <v>$0.00</v>
      </c>
      <c r="AJ12" s="439" t="str">
        <f t="shared" si="13"/>
        <v>$0.00</v>
      </c>
      <c r="AK12" s="439" t="str">
        <f t="shared" si="14"/>
        <v>$0.00</v>
      </c>
      <c r="AL12" s="439" t="str">
        <f t="shared" si="15"/>
        <v>$0.00</v>
      </c>
      <c r="AM12" s="439" t="str">
        <f t="shared" si="16"/>
        <v>$0.00</v>
      </c>
      <c r="AN12" s="447" t="str">
        <f t="shared" si="17"/>
        <v>$0.00</v>
      </c>
      <c r="AO12" s="368">
        <f t="shared" ref="AO12:AO20" si="29">SUM(AG12:AN12)</f>
        <v>0</v>
      </c>
    </row>
    <row r="13" spans="1:41" s="333" customFormat="1">
      <c r="A13" s="359"/>
      <c r="B13" s="360"/>
      <c r="C13" s="361" t="str">
        <f>IF(B13='Effort and OPS Salary'!$B$14,'Effort and OPS Salary'!$C$14:$C$14,IF(B13='Effort and OPS Salary'!$B$15,'Effort and OPS Salary'!$C$15:$C$15,""))</f>
        <v/>
      </c>
      <c r="D13" s="362">
        <v>0</v>
      </c>
      <c r="E13" s="362">
        <f t="shared" si="18"/>
        <v>0</v>
      </c>
      <c r="F13" s="363">
        <v>0</v>
      </c>
      <c r="G13" s="364">
        <f t="shared" si="19"/>
        <v>0</v>
      </c>
      <c r="H13" s="365" t="str">
        <f t="shared" si="0"/>
        <v>$0.00</v>
      </c>
      <c r="I13" s="363">
        <f>F13</f>
        <v>0</v>
      </c>
      <c r="J13" s="364">
        <f t="shared" si="20"/>
        <v>0</v>
      </c>
      <c r="K13" s="365" t="str">
        <f t="shared" si="1"/>
        <v>$0.00</v>
      </c>
      <c r="L13" s="363">
        <f>F13</f>
        <v>0</v>
      </c>
      <c r="M13" s="364">
        <f t="shared" si="2"/>
        <v>0</v>
      </c>
      <c r="N13" s="365" t="str">
        <f t="shared" si="3"/>
        <v>$0.00</v>
      </c>
      <c r="O13" s="363">
        <f>F13</f>
        <v>0</v>
      </c>
      <c r="P13" s="364">
        <f t="shared" si="4"/>
        <v>0</v>
      </c>
      <c r="Q13" s="365" t="str">
        <f t="shared" si="5"/>
        <v>$0.00</v>
      </c>
      <c r="R13" s="363">
        <f>F13</f>
        <v>0</v>
      </c>
      <c r="S13" s="364">
        <f t="shared" si="21"/>
        <v>0</v>
      </c>
      <c r="T13" s="365" t="str">
        <f t="shared" si="6"/>
        <v>$0.00</v>
      </c>
      <c r="U13" s="363">
        <f t="shared" si="7"/>
        <v>0</v>
      </c>
      <c r="V13" s="364">
        <f t="shared" si="22"/>
        <v>0</v>
      </c>
      <c r="W13" s="365" t="str">
        <f t="shared" si="8"/>
        <v>$0.00</v>
      </c>
      <c r="X13" s="363">
        <f t="shared" si="9"/>
        <v>0</v>
      </c>
      <c r="Y13" s="364">
        <f t="shared" si="23"/>
        <v>0</v>
      </c>
      <c r="Z13" s="365" t="str">
        <f t="shared" si="10"/>
        <v>$0.00</v>
      </c>
      <c r="AA13" s="363">
        <f t="shared" si="11"/>
        <v>0</v>
      </c>
      <c r="AB13" s="364">
        <f t="shared" si="24"/>
        <v>0</v>
      </c>
      <c r="AC13" s="365" t="str">
        <f t="shared" si="12"/>
        <v>$0.00</v>
      </c>
      <c r="AD13" s="366">
        <f t="shared" si="25"/>
        <v>0</v>
      </c>
      <c r="AE13" s="334"/>
      <c r="AG13" s="439" t="str">
        <f t="shared" si="26"/>
        <v>$0.00</v>
      </c>
      <c r="AH13" s="439" t="str">
        <f t="shared" si="27"/>
        <v>$0.00</v>
      </c>
      <c r="AI13" s="439" t="str">
        <f t="shared" si="28"/>
        <v>$0.00</v>
      </c>
      <c r="AJ13" s="439" t="str">
        <f t="shared" si="13"/>
        <v>$0.00</v>
      </c>
      <c r="AK13" s="439" t="str">
        <f t="shared" si="14"/>
        <v>$0.00</v>
      </c>
      <c r="AL13" s="439" t="str">
        <f t="shared" si="15"/>
        <v>$0.00</v>
      </c>
      <c r="AM13" s="439" t="str">
        <f t="shared" si="16"/>
        <v>$0.00</v>
      </c>
      <c r="AN13" s="447" t="str">
        <f t="shared" si="17"/>
        <v>$0.00</v>
      </c>
      <c r="AO13" s="368">
        <f t="shared" si="29"/>
        <v>0</v>
      </c>
    </row>
    <row r="14" spans="1:41" s="333" customFormat="1">
      <c r="A14" s="359"/>
      <c r="B14" s="360"/>
      <c r="C14" s="361" t="str">
        <f>IF(B14='Effort and OPS Salary'!$B$14,'Effort and OPS Salary'!$C$14:$C$14,IF(B14='Effort and OPS Salary'!$B$15,'Effort and OPS Salary'!$C$15:$C$15,""))</f>
        <v/>
      </c>
      <c r="D14" s="362">
        <v>0</v>
      </c>
      <c r="E14" s="362">
        <f t="shared" si="18"/>
        <v>0</v>
      </c>
      <c r="F14" s="363">
        <v>0</v>
      </c>
      <c r="G14" s="364">
        <f t="shared" si="19"/>
        <v>0</v>
      </c>
      <c r="H14" s="365" t="str">
        <f t="shared" si="0"/>
        <v>$0.00</v>
      </c>
      <c r="I14" s="363">
        <f>F14</f>
        <v>0</v>
      </c>
      <c r="J14" s="364">
        <f t="shared" si="20"/>
        <v>0</v>
      </c>
      <c r="K14" s="365" t="str">
        <f t="shared" si="1"/>
        <v>$0.00</v>
      </c>
      <c r="L14" s="363">
        <f>F14</f>
        <v>0</v>
      </c>
      <c r="M14" s="364">
        <f t="shared" si="2"/>
        <v>0</v>
      </c>
      <c r="N14" s="365" t="str">
        <f t="shared" si="3"/>
        <v>$0.00</v>
      </c>
      <c r="O14" s="363">
        <f>F14</f>
        <v>0</v>
      </c>
      <c r="P14" s="364">
        <f t="shared" si="4"/>
        <v>0</v>
      </c>
      <c r="Q14" s="365" t="str">
        <f t="shared" si="5"/>
        <v>$0.00</v>
      </c>
      <c r="R14" s="363">
        <f>F14</f>
        <v>0</v>
      </c>
      <c r="S14" s="364">
        <f t="shared" si="21"/>
        <v>0</v>
      </c>
      <c r="T14" s="365" t="str">
        <f t="shared" si="6"/>
        <v>$0.00</v>
      </c>
      <c r="U14" s="363">
        <f t="shared" si="7"/>
        <v>0</v>
      </c>
      <c r="V14" s="364">
        <f t="shared" si="22"/>
        <v>0</v>
      </c>
      <c r="W14" s="365" t="str">
        <f t="shared" si="8"/>
        <v>$0.00</v>
      </c>
      <c r="X14" s="363">
        <f t="shared" si="9"/>
        <v>0</v>
      </c>
      <c r="Y14" s="364">
        <f t="shared" si="23"/>
        <v>0</v>
      </c>
      <c r="Z14" s="365" t="str">
        <f t="shared" si="10"/>
        <v>$0.00</v>
      </c>
      <c r="AA14" s="363">
        <f t="shared" si="11"/>
        <v>0</v>
      </c>
      <c r="AB14" s="364">
        <f t="shared" si="24"/>
        <v>0</v>
      </c>
      <c r="AC14" s="365" t="str">
        <f t="shared" si="12"/>
        <v>$0.00</v>
      </c>
      <c r="AD14" s="366">
        <f t="shared" si="25"/>
        <v>0</v>
      </c>
      <c r="AE14" s="334"/>
      <c r="AG14" s="439" t="str">
        <f t="shared" si="26"/>
        <v>$0.00</v>
      </c>
      <c r="AH14" s="439" t="str">
        <f t="shared" si="27"/>
        <v>$0.00</v>
      </c>
      <c r="AI14" s="439" t="str">
        <f t="shared" si="28"/>
        <v>$0.00</v>
      </c>
      <c r="AJ14" s="439" t="str">
        <f t="shared" si="13"/>
        <v>$0.00</v>
      </c>
      <c r="AK14" s="439" t="str">
        <f t="shared" si="14"/>
        <v>$0.00</v>
      </c>
      <c r="AL14" s="439" t="str">
        <f t="shared" si="15"/>
        <v>$0.00</v>
      </c>
      <c r="AM14" s="439" t="str">
        <f t="shared" si="16"/>
        <v>$0.00</v>
      </c>
      <c r="AN14" s="447" t="str">
        <f t="shared" si="17"/>
        <v>$0.00</v>
      </c>
      <c r="AO14" s="368">
        <f t="shared" si="29"/>
        <v>0</v>
      </c>
    </row>
    <row r="15" spans="1:41" s="333" customFormat="1">
      <c r="A15" s="369"/>
      <c r="B15" s="360"/>
      <c r="C15" s="361" t="str">
        <f>IF(B15='Effort and OPS Salary'!$B$14,'Effort and OPS Salary'!$C$14:$C$14,IF(B15='Effort and OPS Salary'!$B$15,'Effort and OPS Salary'!$C$15:$C$15,""))</f>
        <v/>
      </c>
      <c r="D15" s="362">
        <v>0</v>
      </c>
      <c r="E15" s="362">
        <f t="shared" si="18"/>
        <v>0</v>
      </c>
      <c r="F15" s="363">
        <v>0</v>
      </c>
      <c r="G15" s="364">
        <f t="shared" si="19"/>
        <v>0</v>
      </c>
      <c r="H15" s="365" t="str">
        <f t="shared" si="0"/>
        <v>$0.00</v>
      </c>
      <c r="I15" s="363">
        <f>F15</f>
        <v>0</v>
      </c>
      <c r="J15" s="364">
        <f t="shared" si="20"/>
        <v>0</v>
      </c>
      <c r="K15" s="365" t="str">
        <f t="shared" si="1"/>
        <v>$0.00</v>
      </c>
      <c r="L15" s="363">
        <f>F15</f>
        <v>0</v>
      </c>
      <c r="M15" s="364">
        <f t="shared" si="2"/>
        <v>0</v>
      </c>
      <c r="N15" s="365" t="str">
        <f t="shared" si="3"/>
        <v>$0.00</v>
      </c>
      <c r="O15" s="363">
        <f>F15</f>
        <v>0</v>
      </c>
      <c r="P15" s="364">
        <f t="shared" si="4"/>
        <v>0</v>
      </c>
      <c r="Q15" s="365" t="str">
        <f t="shared" si="5"/>
        <v>$0.00</v>
      </c>
      <c r="R15" s="363">
        <f>F15</f>
        <v>0</v>
      </c>
      <c r="S15" s="364">
        <f t="shared" si="21"/>
        <v>0</v>
      </c>
      <c r="T15" s="365" t="str">
        <f t="shared" si="6"/>
        <v>$0.00</v>
      </c>
      <c r="U15" s="363">
        <f t="shared" si="7"/>
        <v>0</v>
      </c>
      <c r="V15" s="364">
        <f t="shared" si="22"/>
        <v>0</v>
      </c>
      <c r="W15" s="365" t="str">
        <f t="shared" si="8"/>
        <v>$0.00</v>
      </c>
      <c r="X15" s="363">
        <f t="shared" si="9"/>
        <v>0</v>
      </c>
      <c r="Y15" s="364">
        <f t="shared" si="23"/>
        <v>0</v>
      </c>
      <c r="Z15" s="365" t="str">
        <f t="shared" si="10"/>
        <v>$0.00</v>
      </c>
      <c r="AA15" s="363">
        <f t="shared" si="11"/>
        <v>0</v>
      </c>
      <c r="AB15" s="364">
        <f t="shared" si="24"/>
        <v>0</v>
      </c>
      <c r="AC15" s="365" t="str">
        <f t="shared" si="12"/>
        <v>$0.00</v>
      </c>
      <c r="AD15" s="366">
        <f t="shared" si="25"/>
        <v>0</v>
      </c>
      <c r="AG15" s="439" t="str">
        <f t="shared" si="26"/>
        <v>$0.00</v>
      </c>
      <c r="AH15" s="439" t="str">
        <f t="shared" si="27"/>
        <v>$0.00</v>
      </c>
      <c r="AI15" s="439" t="str">
        <f t="shared" si="28"/>
        <v>$0.00</v>
      </c>
      <c r="AJ15" s="439" t="str">
        <f t="shared" si="13"/>
        <v>$0.00</v>
      </c>
      <c r="AK15" s="439" t="str">
        <f t="shared" si="14"/>
        <v>$0.00</v>
      </c>
      <c r="AL15" s="439" t="str">
        <f t="shared" si="15"/>
        <v>$0.00</v>
      </c>
      <c r="AM15" s="439" t="str">
        <f t="shared" si="16"/>
        <v>$0.00</v>
      </c>
      <c r="AN15" s="447" t="str">
        <f t="shared" si="17"/>
        <v>$0.00</v>
      </c>
      <c r="AO15" s="368">
        <f t="shared" si="29"/>
        <v>0</v>
      </c>
    </row>
    <row r="16" spans="1:41" s="360" customFormat="1" hidden="1" outlineLevel="1">
      <c r="A16" s="369"/>
      <c r="C16" s="361" t="str">
        <f>IF(B16='Effort and OPS Salary'!$B$14,'Effort and OPS Salary'!$C$14:$C$14,IF(B16='Effort and OPS Salary'!$B$15,'Effort and OPS Salary'!$C$15:$C$15,""))</f>
        <v/>
      </c>
      <c r="D16" s="362">
        <v>0</v>
      </c>
      <c r="E16" s="362">
        <f t="shared" si="18"/>
        <v>0</v>
      </c>
      <c r="F16" s="363">
        <v>0</v>
      </c>
      <c r="G16" s="364">
        <f t="shared" si="19"/>
        <v>0</v>
      </c>
      <c r="H16" s="365" t="str">
        <f t="shared" si="0"/>
        <v>$0.00</v>
      </c>
      <c r="I16" s="363">
        <f t="shared" ref="I16:I31" si="30">F16</f>
        <v>0</v>
      </c>
      <c r="J16" s="364">
        <f t="shared" si="20"/>
        <v>0</v>
      </c>
      <c r="K16" s="365" t="str">
        <f t="shared" si="1"/>
        <v>$0.00</v>
      </c>
      <c r="L16" s="363">
        <f t="shared" ref="L16:L31" si="31">F16</f>
        <v>0</v>
      </c>
      <c r="M16" s="364">
        <f t="shared" si="2"/>
        <v>0</v>
      </c>
      <c r="N16" s="365" t="str">
        <f t="shared" si="3"/>
        <v>$0.00</v>
      </c>
      <c r="O16" s="363">
        <f t="shared" ref="O16:O31" si="32">F16</f>
        <v>0</v>
      </c>
      <c r="P16" s="364">
        <f t="shared" si="4"/>
        <v>0</v>
      </c>
      <c r="Q16" s="365" t="str">
        <f t="shared" si="5"/>
        <v>$0.00</v>
      </c>
      <c r="R16" s="363">
        <f t="shared" ref="R16:R31" si="33">F16</f>
        <v>0</v>
      </c>
      <c r="S16" s="364">
        <f t="shared" si="21"/>
        <v>0</v>
      </c>
      <c r="T16" s="365" t="str">
        <f t="shared" si="6"/>
        <v>$0.00</v>
      </c>
      <c r="U16" s="363">
        <f t="shared" si="7"/>
        <v>0</v>
      </c>
      <c r="V16" s="364">
        <f t="shared" si="22"/>
        <v>0</v>
      </c>
      <c r="W16" s="365" t="str">
        <f t="shared" si="8"/>
        <v>$0.00</v>
      </c>
      <c r="X16" s="363">
        <f t="shared" si="9"/>
        <v>0</v>
      </c>
      <c r="Y16" s="364">
        <f t="shared" si="23"/>
        <v>0</v>
      </c>
      <c r="Z16" s="365" t="str">
        <f t="shared" si="10"/>
        <v>$0.00</v>
      </c>
      <c r="AA16" s="363">
        <f t="shared" si="11"/>
        <v>0</v>
      </c>
      <c r="AB16" s="364">
        <f t="shared" si="24"/>
        <v>0</v>
      </c>
      <c r="AC16" s="365" t="str">
        <f t="shared" si="12"/>
        <v>$0.00</v>
      </c>
      <c r="AD16" s="366">
        <f t="shared" si="25"/>
        <v>0</v>
      </c>
      <c r="AG16" s="439" t="str">
        <f t="shared" si="26"/>
        <v>$0.00</v>
      </c>
      <c r="AH16" s="439" t="str">
        <f t="shared" si="27"/>
        <v>$0.00</v>
      </c>
      <c r="AI16" s="439" t="str">
        <f t="shared" si="28"/>
        <v>$0.00</v>
      </c>
      <c r="AJ16" s="439" t="str">
        <f t="shared" si="13"/>
        <v>$0.00</v>
      </c>
      <c r="AK16" s="439" t="str">
        <f t="shared" si="14"/>
        <v>$0.00</v>
      </c>
      <c r="AL16" s="439" t="str">
        <f t="shared" si="15"/>
        <v>$0.00</v>
      </c>
      <c r="AM16" s="439" t="str">
        <f t="shared" si="16"/>
        <v>$0.00</v>
      </c>
      <c r="AN16" s="447" t="str">
        <f t="shared" si="17"/>
        <v>$0.00</v>
      </c>
      <c r="AO16" s="368">
        <f t="shared" si="29"/>
        <v>0</v>
      </c>
    </row>
    <row r="17" spans="1:41" s="360" customFormat="1" hidden="1" outlineLevel="1">
      <c r="A17" s="369"/>
      <c r="C17" s="361" t="str">
        <f>IF(B17='Effort and OPS Salary'!$B$14,'Effort and OPS Salary'!$C$14:$C$14,IF(B17='Effort and OPS Salary'!$B$15,'Effort and OPS Salary'!$C$15:$C$15,""))</f>
        <v/>
      </c>
      <c r="D17" s="362">
        <v>0</v>
      </c>
      <c r="E17" s="362">
        <f t="shared" si="18"/>
        <v>0</v>
      </c>
      <c r="F17" s="363">
        <v>0</v>
      </c>
      <c r="G17" s="364">
        <f t="shared" si="19"/>
        <v>0</v>
      </c>
      <c r="H17" s="365" t="str">
        <f t="shared" si="0"/>
        <v>$0.00</v>
      </c>
      <c r="I17" s="363">
        <f t="shared" si="30"/>
        <v>0</v>
      </c>
      <c r="J17" s="364">
        <f t="shared" si="20"/>
        <v>0</v>
      </c>
      <c r="K17" s="365" t="str">
        <f t="shared" si="1"/>
        <v>$0.00</v>
      </c>
      <c r="L17" s="363">
        <f t="shared" si="31"/>
        <v>0</v>
      </c>
      <c r="M17" s="364">
        <f t="shared" si="2"/>
        <v>0</v>
      </c>
      <c r="N17" s="365" t="str">
        <f t="shared" si="3"/>
        <v>$0.00</v>
      </c>
      <c r="O17" s="363">
        <f t="shared" si="32"/>
        <v>0</v>
      </c>
      <c r="P17" s="364">
        <f t="shared" si="4"/>
        <v>0</v>
      </c>
      <c r="Q17" s="365" t="str">
        <f t="shared" si="5"/>
        <v>$0.00</v>
      </c>
      <c r="R17" s="363">
        <f t="shared" si="33"/>
        <v>0</v>
      </c>
      <c r="S17" s="364">
        <f t="shared" si="21"/>
        <v>0</v>
      </c>
      <c r="T17" s="365" t="str">
        <f t="shared" si="6"/>
        <v>$0.00</v>
      </c>
      <c r="U17" s="363">
        <f t="shared" si="7"/>
        <v>0</v>
      </c>
      <c r="V17" s="364">
        <f t="shared" si="22"/>
        <v>0</v>
      </c>
      <c r="W17" s="365" t="str">
        <f t="shared" si="8"/>
        <v>$0.00</v>
      </c>
      <c r="X17" s="363">
        <f t="shared" si="9"/>
        <v>0</v>
      </c>
      <c r="Y17" s="364">
        <f t="shared" si="23"/>
        <v>0</v>
      </c>
      <c r="Z17" s="365" t="str">
        <f t="shared" si="10"/>
        <v>$0.00</v>
      </c>
      <c r="AA17" s="363">
        <f t="shared" si="11"/>
        <v>0</v>
      </c>
      <c r="AB17" s="364">
        <f t="shared" si="24"/>
        <v>0</v>
      </c>
      <c r="AC17" s="365" t="str">
        <f t="shared" si="12"/>
        <v>$0.00</v>
      </c>
      <c r="AD17" s="366">
        <f t="shared" si="25"/>
        <v>0</v>
      </c>
      <c r="AF17" s="371"/>
      <c r="AG17" s="439" t="str">
        <f t="shared" si="26"/>
        <v>$0.00</v>
      </c>
      <c r="AH17" s="439" t="str">
        <f t="shared" si="27"/>
        <v>$0.00</v>
      </c>
      <c r="AI17" s="439" t="str">
        <f t="shared" si="28"/>
        <v>$0.00</v>
      </c>
      <c r="AJ17" s="439" t="str">
        <f t="shared" si="13"/>
        <v>$0.00</v>
      </c>
      <c r="AK17" s="439" t="str">
        <f t="shared" si="14"/>
        <v>$0.00</v>
      </c>
      <c r="AL17" s="439" t="str">
        <f t="shared" si="15"/>
        <v>$0.00</v>
      </c>
      <c r="AM17" s="439" t="str">
        <f t="shared" si="16"/>
        <v>$0.00</v>
      </c>
      <c r="AN17" s="447" t="str">
        <f t="shared" si="17"/>
        <v>$0.00</v>
      </c>
      <c r="AO17" s="368">
        <f t="shared" si="29"/>
        <v>0</v>
      </c>
    </row>
    <row r="18" spans="1:41" s="360" customFormat="1" hidden="1" outlineLevel="1">
      <c r="A18" s="369"/>
      <c r="C18" s="361" t="str">
        <f>IF(B18='Effort and OPS Salary'!$B$14,'Effort and OPS Salary'!$C$14:$C$14,IF(B18='Effort and OPS Salary'!$B$15,'Effort and OPS Salary'!$C$15:$C$15,""))</f>
        <v/>
      </c>
      <c r="D18" s="362">
        <v>0</v>
      </c>
      <c r="E18" s="362">
        <f t="shared" si="18"/>
        <v>0</v>
      </c>
      <c r="F18" s="363">
        <v>0</v>
      </c>
      <c r="G18" s="364">
        <f t="shared" si="19"/>
        <v>0</v>
      </c>
      <c r="H18" s="365" t="str">
        <f t="shared" si="0"/>
        <v>$0.00</v>
      </c>
      <c r="I18" s="363">
        <f t="shared" si="30"/>
        <v>0</v>
      </c>
      <c r="J18" s="364">
        <f t="shared" si="20"/>
        <v>0</v>
      </c>
      <c r="K18" s="365" t="str">
        <f t="shared" si="1"/>
        <v>$0.00</v>
      </c>
      <c r="L18" s="363">
        <f t="shared" si="31"/>
        <v>0</v>
      </c>
      <c r="M18" s="364">
        <f t="shared" si="2"/>
        <v>0</v>
      </c>
      <c r="N18" s="365" t="str">
        <f t="shared" si="3"/>
        <v>$0.00</v>
      </c>
      <c r="O18" s="363">
        <f t="shared" si="32"/>
        <v>0</v>
      </c>
      <c r="P18" s="364">
        <f t="shared" si="4"/>
        <v>0</v>
      </c>
      <c r="Q18" s="365" t="str">
        <f t="shared" si="5"/>
        <v>$0.00</v>
      </c>
      <c r="R18" s="363">
        <f t="shared" si="33"/>
        <v>0</v>
      </c>
      <c r="S18" s="364">
        <f t="shared" si="21"/>
        <v>0</v>
      </c>
      <c r="T18" s="365" t="str">
        <f t="shared" si="6"/>
        <v>$0.00</v>
      </c>
      <c r="U18" s="363">
        <f t="shared" si="7"/>
        <v>0</v>
      </c>
      <c r="V18" s="364">
        <f t="shared" si="22"/>
        <v>0</v>
      </c>
      <c r="W18" s="365" t="str">
        <f t="shared" si="8"/>
        <v>$0.00</v>
      </c>
      <c r="X18" s="363">
        <f t="shared" si="9"/>
        <v>0</v>
      </c>
      <c r="Y18" s="364">
        <f t="shared" si="23"/>
        <v>0</v>
      </c>
      <c r="Z18" s="365" t="str">
        <f t="shared" si="10"/>
        <v>$0.00</v>
      </c>
      <c r="AA18" s="363">
        <f t="shared" si="11"/>
        <v>0</v>
      </c>
      <c r="AB18" s="364">
        <f t="shared" si="24"/>
        <v>0</v>
      </c>
      <c r="AC18" s="365" t="str">
        <f t="shared" si="12"/>
        <v>$0.00</v>
      </c>
      <c r="AD18" s="366">
        <f t="shared" si="25"/>
        <v>0</v>
      </c>
      <c r="AF18" s="371"/>
      <c r="AG18" s="439" t="str">
        <f t="shared" si="26"/>
        <v>$0.00</v>
      </c>
      <c r="AH18" s="439" t="str">
        <f t="shared" si="27"/>
        <v>$0.00</v>
      </c>
      <c r="AI18" s="439" t="str">
        <f t="shared" si="28"/>
        <v>$0.00</v>
      </c>
      <c r="AJ18" s="439" t="str">
        <f t="shared" si="13"/>
        <v>$0.00</v>
      </c>
      <c r="AK18" s="439" t="str">
        <f t="shared" si="14"/>
        <v>$0.00</v>
      </c>
      <c r="AL18" s="439" t="str">
        <f t="shared" si="15"/>
        <v>$0.00</v>
      </c>
      <c r="AM18" s="439" t="str">
        <f t="shared" si="16"/>
        <v>$0.00</v>
      </c>
      <c r="AN18" s="447" t="str">
        <f t="shared" si="17"/>
        <v>$0.00</v>
      </c>
      <c r="AO18" s="368">
        <f t="shared" si="29"/>
        <v>0</v>
      </c>
    </row>
    <row r="19" spans="1:41" s="360" customFormat="1" hidden="1" outlineLevel="1">
      <c r="A19" s="369"/>
      <c r="C19" s="361" t="str">
        <f>IF(B19='Effort and OPS Salary'!$B$14,'Effort and OPS Salary'!$C$14:$C$14,IF(B19='Effort and OPS Salary'!$B$15,'Effort and OPS Salary'!$C$15:$C$15,""))</f>
        <v/>
      </c>
      <c r="D19" s="362">
        <v>0</v>
      </c>
      <c r="E19" s="362">
        <f t="shared" si="18"/>
        <v>0</v>
      </c>
      <c r="F19" s="363">
        <v>0</v>
      </c>
      <c r="G19" s="364">
        <f t="shared" si="19"/>
        <v>0</v>
      </c>
      <c r="H19" s="365" t="str">
        <f t="shared" si="0"/>
        <v>$0.00</v>
      </c>
      <c r="I19" s="363">
        <f t="shared" si="30"/>
        <v>0</v>
      </c>
      <c r="J19" s="364">
        <f t="shared" si="20"/>
        <v>0</v>
      </c>
      <c r="K19" s="365" t="str">
        <f t="shared" si="1"/>
        <v>$0.00</v>
      </c>
      <c r="L19" s="363">
        <f t="shared" si="31"/>
        <v>0</v>
      </c>
      <c r="M19" s="364">
        <f t="shared" si="2"/>
        <v>0</v>
      </c>
      <c r="N19" s="365" t="str">
        <f t="shared" si="3"/>
        <v>$0.00</v>
      </c>
      <c r="O19" s="363">
        <f t="shared" si="32"/>
        <v>0</v>
      </c>
      <c r="P19" s="364">
        <f t="shared" si="4"/>
        <v>0</v>
      </c>
      <c r="Q19" s="365" t="str">
        <f t="shared" si="5"/>
        <v>$0.00</v>
      </c>
      <c r="R19" s="363">
        <f t="shared" si="33"/>
        <v>0</v>
      </c>
      <c r="S19" s="364">
        <f t="shared" si="21"/>
        <v>0</v>
      </c>
      <c r="T19" s="365" t="str">
        <f t="shared" si="6"/>
        <v>$0.00</v>
      </c>
      <c r="U19" s="363">
        <f t="shared" si="7"/>
        <v>0</v>
      </c>
      <c r="V19" s="364">
        <f t="shared" si="22"/>
        <v>0</v>
      </c>
      <c r="W19" s="365" t="str">
        <f t="shared" si="8"/>
        <v>$0.00</v>
      </c>
      <c r="X19" s="363">
        <f t="shared" si="9"/>
        <v>0</v>
      </c>
      <c r="Y19" s="364">
        <f t="shared" si="23"/>
        <v>0</v>
      </c>
      <c r="Z19" s="365" t="str">
        <f t="shared" si="10"/>
        <v>$0.00</v>
      </c>
      <c r="AA19" s="363">
        <f t="shared" si="11"/>
        <v>0</v>
      </c>
      <c r="AB19" s="364">
        <f t="shared" si="24"/>
        <v>0</v>
      </c>
      <c r="AC19" s="365" t="str">
        <f t="shared" si="12"/>
        <v>$0.00</v>
      </c>
      <c r="AD19" s="366">
        <f t="shared" si="25"/>
        <v>0</v>
      </c>
      <c r="AF19" s="371"/>
      <c r="AG19" s="439" t="str">
        <f t="shared" si="26"/>
        <v>$0.00</v>
      </c>
      <c r="AH19" s="439" t="str">
        <f t="shared" si="27"/>
        <v>$0.00</v>
      </c>
      <c r="AI19" s="439" t="str">
        <f t="shared" si="28"/>
        <v>$0.00</v>
      </c>
      <c r="AJ19" s="439" t="str">
        <f t="shared" si="13"/>
        <v>$0.00</v>
      </c>
      <c r="AK19" s="439" t="str">
        <f t="shared" si="14"/>
        <v>$0.00</v>
      </c>
      <c r="AL19" s="439" t="str">
        <f t="shared" si="15"/>
        <v>$0.00</v>
      </c>
      <c r="AM19" s="439" t="str">
        <f t="shared" si="16"/>
        <v>$0.00</v>
      </c>
      <c r="AN19" s="447" t="str">
        <f t="shared" si="17"/>
        <v>$0.00</v>
      </c>
      <c r="AO19" s="368">
        <f t="shared" si="29"/>
        <v>0</v>
      </c>
    </row>
    <row r="20" spans="1:41" s="360" customFormat="1" hidden="1" outlineLevel="1">
      <c r="A20" s="369"/>
      <c r="C20" s="361" t="str">
        <f>IF(B20='Effort and OPS Salary'!$B$14,'Effort and OPS Salary'!$C$14:$C$14,IF(B20='Effort and OPS Salary'!$B$15,'Effort and OPS Salary'!$C$15:$C$15,""))</f>
        <v/>
      </c>
      <c r="D20" s="362">
        <v>0</v>
      </c>
      <c r="E20" s="362">
        <f t="shared" si="18"/>
        <v>0</v>
      </c>
      <c r="F20" s="363">
        <v>0</v>
      </c>
      <c r="G20" s="364">
        <f t="shared" si="19"/>
        <v>0</v>
      </c>
      <c r="H20" s="365" t="str">
        <f t="shared" si="0"/>
        <v>$0.00</v>
      </c>
      <c r="I20" s="363">
        <f t="shared" si="30"/>
        <v>0</v>
      </c>
      <c r="J20" s="364">
        <f t="shared" si="20"/>
        <v>0</v>
      </c>
      <c r="K20" s="365" t="str">
        <f t="shared" si="1"/>
        <v>$0.00</v>
      </c>
      <c r="L20" s="363">
        <f t="shared" si="31"/>
        <v>0</v>
      </c>
      <c r="M20" s="364">
        <f t="shared" si="2"/>
        <v>0</v>
      </c>
      <c r="N20" s="365" t="str">
        <f t="shared" si="3"/>
        <v>$0.00</v>
      </c>
      <c r="O20" s="363">
        <f t="shared" si="32"/>
        <v>0</v>
      </c>
      <c r="P20" s="364">
        <f t="shared" si="4"/>
        <v>0</v>
      </c>
      <c r="Q20" s="365" t="str">
        <f t="shared" si="5"/>
        <v>$0.00</v>
      </c>
      <c r="R20" s="363">
        <f t="shared" si="33"/>
        <v>0</v>
      </c>
      <c r="S20" s="364">
        <f t="shared" si="21"/>
        <v>0</v>
      </c>
      <c r="T20" s="365" t="str">
        <f t="shared" si="6"/>
        <v>$0.00</v>
      </c>
      <c r="U20" s="363">
        <f t="shared" si="7"/>
        <v>0</v>
      </c>
      <c r="V20" s="364">
        <f t="shared" si="22"/>
        <v>0</v>
      </c>
      <c r="W20" s="365" t="str">
        <f t="shared" si="8"/>
        <v>$0.00</v>
      </c>
      <c r="X20" s="363">
        <f t="shared" si="9"/>
        <v>0</v>
      </c>
      <c r="Y20" s="364">
        <f t="shared" si="23"/>
        <v>0</v>
      </c>
      <c r="Z20" s="365" t="str">
        <f t="shared" si="10"/>
        <v>$0.00</v>
      </c>
      <c r="AA20" s="363">
        <f t="shared" si="11"/>
        <v>0</v>
      </c>
      <c r="AB20" s="364">
        <f t="shared" si="24"/>
        <v>0</v>
      </c>
      <c r="AC20" s="365" t="str">
        <f t="shared" si="12"/>
        <v>$0.00</v>
      </c>
      <c r="AD20" s="366">
        <f t="shared" si="25"/>
        <v>0</v>
      </c>
      <c r="AF20" s="371"/>
      <c r="AG20" s="439" t="str">
        <f t="shared" si="26"/>
        <v>$0.00</v>
      </c>
      <c r="AH20" s="439" t="str">
        <f t="shared" si="27"/>
        <v>$0.00</v>
      </c>
      <c r="AI20" s="439" t="str">
        <f t="shared" si="28"/>
        <v>$0.00</v>
      </c>
      <c r="AJ20" s="439" t="str">
        <f t="shared" si="13"/>
        <v>$0.00</v>
      </c>
      <c r="AK20" s="439" t="str">
        <f t="shared" si="14"/>
        <v>$0.00</v>
      </c>
      <c r="AL20" s="439" t="str">
        <f t="shared" si="15"/>
        <v>$0.00</v>
      </c>
      <c r="AM20" s="439" t="str">
        <f t="shared" si="16"/>
        <v>$0.00</v>
      </c>
      <c r="AN20" s="447" t="str">
        <f t="shared" si="17"/>
        <v>$0.00</v>
      </c>
      <c r="AO20" s="368">
        <f t="shared" si="29"/>
        <v>0</v>
      </c>
    </row>
    <row r="21" spans="1:41" s="333" customFormat="1" collapsed="1">
      <c r="A21" s="372" t="s">
        <v>222</v>
      </c>
      <c r="B21" s="373" t="s">
        <v>75</v>
      </c>
      <c r="C21" s="374" t="s">
        <v>12</v>
      </c>
      <c r="D21" s="375"/>
      <c r="E21" s="375"/>
      <c r="F21" s="375"/>
      <c r="G21" s="376"/>
      <c r="H21" s="377"/>
      <c r="I21" s="375"/>
      <c r="J21" s="376"/>
      <c r="K21" s="377"/>
      <c r="L21" s="375"/>
      <c r="M21" s="376"/>
      <c r="N21" s="377"/>
      <c r="O21" s="375"/>
      <c r="P21" s="376"/>
      <c r="Q21" s="377"/>
      <c r="R21" s="375"/>
      <c r="S21" s="376"/>
      <c r="T21" s="377"/>
      <c r="U21" s="375"/>
      <c r="V21" s="376"/>
      <c r="W21" s="376"/>
      <c r="X21" s="376"/>
      <c r="Y21" s="376"/>
      <c r="Z21" s="376"/>
      <c r="AA21" s="376"/>
      <c r="AB21" s="376"/>
      <c r="AC21" s="376"/>
      <c r="AD21" s="366"/>
      <c r="AF21" s="380"/>
      <c r="AG21" s="448"/>
      <c r="AH21" s="377"/>
      <c r="AI21" s="377"/>
      <c r="AJ21" s="377"/>
      <c r="AK21" s="377"/>
      <c r="AL21" s="377"/>
      <c r="AM21" s="377"/>
      <c r="AN21" s="377"/>
      <c r="AO21" s="378"/>
    </row>
    <row r="22" spans="1:41" s="333" customFormat="1">
      <c r="A22" s="359"/>
      <c r="B22" s="360"/>
      <c r="C22" s="382" t="str">
        <f>IF(B22='Effort and OPS Salary'!$B$14,'Effort and OPS Salary'!$C$14:$C$14,IF(B22='Effort and OPS Salary'!$B$15,'Effort and OPS Salary'!$C$15:$C$15,IF(B22='Effort and OPS Salary'!$B$16,'Effort and OPS Salary'!$C$16:$C$16,IF(B22='Effort and OPS Salary'!$B$17,'Effort and OPS Salary'!$C$17:$C$17,IF(B22='Effort and OPS Salary'!$B$18,'Effort and OPS Salary'!$C$18:$C$18,IF(B22='Effort and OPS Salary'!$B$19,'Effort and OPS Salary'!$C$19:$C$19,IF(B22='Effort and OPS Salary'!$B$20,'Effort and OPS Salary'!$C$20:$C$20,IF(B22='Effort and OPS Salary'!$B$21,'Effort and OPS Salary'!$C$21:$C$21,IF(B22='Effort and OPS Salary'!$B$22,'Effort and OPS Salary'!$C$22:$C$22,"")))))))))</f>
        <v/>
      </c>
      <c r="D22" s="362">
        <v>0</v>
      </c>
      <c r="E22" s="362">
        <f>D22/12</f>
        <v>0</v>
      </c>
      <c r="F22" s="363">
        <v>0</v>
      </c>
      <c r="G22" s="364">
        <f>F22*12*$F$7</f>
        <v>0</v>
      </c>
      <c r="H22" s="365" t="str">
        <f t="shared" ref="H22:H31" si="34">IFERROR(ROUND(MIN(IF(CAP="none",1000000,CAP*G22/$F$8*F$7),D22*G22/$F$8*F$7),0)*(1+B$6)*(1+C22),"$0.00")</f>
        <v>$0.00</v>
      </c>
      <c r="I22" s="363">
        <f t="shared" si="30"/>
        <v>0</v>
      </c>
      <c r="J22" s="364">
        <f>I22*12*$I$7</f>
        <v>0</v>
      </c>
      <c r="K22" s="365" t="str">
        <f t="shared" ref="K22:K31" si="35">IFERROR(ROUND(MIN(IF(CAP="none",1000000,CAP*J22/$I$8*I$7),D22*J22/$I$8*I$7),0)*(1+B$6)^2*(1+C22),"$0.00")</f>
        <v>$0.00</v>
      </c>
      <c r="L22" s="363">
        <f t="shared" si="31"/>
        <v>0</v>
      </c>
      <c r="M22" s="364">
        <f>L22*12*$L$7</f>
        <v>0</v>
      </c>
      <c r="N22" s="365" t="str">
        <f t="shared" ref="N22:N31" si="36">IFERROR(ROUND(MIN(IF(CAP="none",1000000,CAP*M22/$L$8*L$7),D22*M22/$L$8*L$7),0)*(1+B$6)^3*(1+C22),"$0.00")</f>
        <v>$0.00</v>
      </c>
      <c r="O22" s="363">
        <f t="shared" si="32"/>
        <v>0</v>
      </c>
      <c r="P22" s="364">
        <f t="shared" si="4"/>
        <v>0</v>
      </c>
      <c r="Q22" s="365" t="str">
        <f t="shared" ref="Q22:Q31" si="37">IFERROR(ROUND(MIN(IF(CAP="none",1000000,CAP*P22/$O$8*O$7),D22*P22/$O$8*O$7),0)*(1+B$6)^4*(1+C22),"$0.00")</f>
        <v>$0.00</v>
      </c>
      <c r="R22" s="363">
        <f t="shared" si="33"/>
        <v>0</v>
      </c>
      <c r="S22" s="364">
        <f t="shared" si="21"/>
        <v>0</v>
      </c>
      <c r="T22" s="365" t="str">
        <f t="shared" ref="T22:T31" si="38">IFERROR(ROUND(MIN(IF(CAP="none",1000000,CAP*S22/$R$8*R$7),D22*S22/$R$8*R$7),0)*(1+B$6)^5*(1+C22),"$0.00")</f>
        <v>$0.00</v>
      </c>
      <c r="U22" s="363">
        <f t="shared" ref="U22:U31" si="39">I22</f>
        <v>0</v>
      </c>
      <c r="V22" s="364">
        <f>U22*12*$U$7</f>
        <v>0</v>
      </c>
      <c r="W22" s="365" t="str">
        <f t="shared" ref="W22:W31" si="40">IFERROR(ROUND(MIN(IF(CAP="none",1000000,CAP*V22/$U$8*U$7),D22*V22/$U$8*U$7),0)*(1+B$6)^6*(1+C22),"$0.00")</f>
        <v>$0.00</v>
      </c>
      <c r="X22" s="363">
        <f t="shared" ref="X22:X31" si="41">L22</f>
        <v>0</v>
      </c>
      <c r="Y22" s="364">
        <f>X22*12*$X$7</f>
        <v>0</v>
      </c>
      <c r="Z22" s="365" t="str">
        <f t="shared" ref="Z22:Z31" si="42">IFERROR(ROUND(MIN(IF(CAP="none",1000000,CAP*Y22/$X$8*X$7),D22*Y22/$X$8*X$7),0)*(1+B$6)^7*(1+C22),"$0.00")</f>
        <v>$0.00</v>
      </c>
      <c r="AA22" s="363">
        <f t="shared" ref="AA22:AA31" si="43">O22</f>
        <v>0</v>
      </c>
      <c r="AB22" s="364">
        <f>AA22*12*$AA$7</f>
        <v>0</v>
      </c>
      <c r="AC22" s="365" t="str">
        <f t="shared" ref="AC22:AC31" si="44">IFERROR(ROUND(MIN(IF(CAP="none",1000000,CAP*AB22/$AA$8*AA$7),D22*AB22/$AA$8*AA$7),0)*(1+B$6)^8*(1+C22),"$0.00")</f>
        <v>$0.00</v>
      </c>
      <c r="AD22" s="366">
        <f t="shared" si="25"/>
        <v>0</v>
      </c>
      <c r="AE22" s="487"/>
      <c r="AF22" s="380"/>
      <c r="AG22" s="439" t="str">
        <f>IFERROR(ROUND(MIN(IF(CAP="none",1000000,CAP*G22/$F$8*F$7),D22*G22/$F$8*F$7),0)*C22,"$0.00")</f>
        <v>$0.00</v>
      </c>
      <c r="AH22" s="439" t="str">
        <f>IFERROR(ROUND(MIN(IF(CAP="none",1000000,CAP*J22/$I$8*I$7),D22*J22/$I$8*I$7),0)*(1+B$6)*C22,"$0.00")</f>
        <v>$0.00</v>
      </c>
      <c r="AI22" s="439" t="str">
        <f>IFERROR(ROUND(MIN(IF(CAP="none",1000000,CAP*M22/$L$8*L$7),D22*M22/$L$8*L$7),0)*(1+B$6)^2*C22,"$0.00")</f>
        <v>$0.00</v>
      </c>
      <c r="AJ22" s="439" t="str">
        <f t="shared" si="13"/>
        <v>$0.00</v>
      </c>
      <c r="AK22" s="439" t="str">
        <f t="shared" si="14"/>
        <v>$0.00</v>
      </c>
      <c r="AL22" s="439" t="str">
        <f t="shared" si="15"/>
        <v>$0.00</v>
      </c>
      <c r="AM22" s="439" t="str">
        <f t="shared" si="16"/>
        <v>$0.00</v>
      </c>
      <c r="AN22" s="447" t="str">
        <f t="shared" si="17"/>
        <v>$0.00</v>
      </c>
      <c r="AO22" s="368">
        <f t="shared" ref="AO22:AO31" si="45">SUM(AG22:AN22)</f>
        <v>0</v>
      </c>
    </row>
    <row r="23" spans="1:41" s="333" customFormat="1">
      <c r="A23" s="359"/>
      <c r="B23" s="360"/>
      <c r="C23" s="382" t="str">
        <f>IF(B23='Effort and OPS Salary'!$B$14,'Effort and OPS Salary'!$C$14:$C$14,IF(B23='Effort and OPS Salary'!$B$15,'Effort and OPS Salary'!$C$15:$C$15,IF(B23='Effort and OPS Salary'!$B$16,'Effort and OPS Salary'!$C$16:$C$16,IF(B23='Effort and OPS Salary'!$B$17,'Effort and OPS Salary'!$C$17:$C$17,IF(B23='Effort and OPS Salary'!$B$18,'Effort and OPS Salary'!$C$18:$C$18,IF(B23='Effort and OPS Salary'!$B$19,'Effort and OPS Salary'!$C$19:$C$19,IF(B23='Effort and OPS Salary'!$B$20,'Effort and OPS Salary'!$C$20:$C$20,IF(B23='Effort and OPS Salary'!$B$21,'Effort and OPS Salary'!$C$21:$C$21,IF(B23='Effort and OPS Salary'!$B$22,'Effort and OPS Salary'!$C$22:$C$22,"")))))))))</f>
        <v/>
      </c>
      <c r="D23" s="362">
        <v>0</v>
      </c>
      <c r="E23" s="362">
        <f t="shared" ref="E23:E31" si="46">D23/12</f>
        <v>0</v>
      </c>
      <c r="F23" s="363">
        <v>0</v>
      </c>
      <c r="G23" s="364">
        <f t="shared" ref="G23:G31" si="47">F23*12*$F$7</f>
        <v>0</v>
      </c>
      <c r="H23" s="365" t="str">
        <f t="shared" si="34"/>
        <v>$0.00</v>
      </c>
      <c r="I23" s="363">
        <f t="shared" si="30"/>
        <v>0</v>
      </c>
      <c r="J23" s="364">
        <f t="shared" ref="J23:J31" si="48">I23*12*$I$7</f>
        <v>0</v>
      </c>
      <c r="K23" s="365" t="str">
        <f t="shared" si="35"/>
        <v>$0.00</v>
      </c>
      <c r="L23" s="363">
        <f t="shared" si="31"/>
        <v>0</v>
      </c>
      <c r="M23" s="364">
        <f t="shared" ref="M23:M31" si="49">L23*12*$L$7</f>
        <v>0</v>
      </c>
      <c r="N23" s="365" t="str">
        <f t="shared" si="36"/>
        <v>$0.00</v>
      </c>
      <c r="O23" s="363">
        <f t="shared" si="32"/>
        <v>0</v>
      </c>
      <c r="P23" s="364">
        <f t="shared" si="4"/>
        <v>0</v>
      </c>
      <c r="Q23" s="365" t="str">
        <f t="shared" si="37"/>
        <v>$0.00</v>
      </c>
      <c r="R23" s="363">
        <f t="shared" si="33"/>
        <v>0</v>
      </c>
      <c r="S23" s="364">
        <f t="shared" si="21"/>
        <v>0</v>
      </c>
      <c r="T23" s="365" t="str">
        <f t="shared" si="38"/>
        <v>$0.00</v>
      </c>
      <c r="U23" s="363">
        <f t="shared" si="39"/>
        <v>0</v>
      </c>
      <c r="V23" s="364">
        <f t="shared" ref="V23:V31" si="50">U23*12*$U$7</f>
        <v>0</v>
      </c>
      <c r="W23" s="365" t="str">
        <f t="shared" si="40"/>
        <v>$0.00</v>
      </c>
      <c r="X23" s="363">
        <f t="shared" si="41"/>
        <v>0</v>
      </c>
      <c r="Y23" s="364">
        <f t="shared" ref="Y23:Y31" si="51">X23*12*$X$7</f>
        <v>0</v>
      </c>
      <c r="Z23" s="365" t="str">
        <f t="shared" si="42"/>
        <v>$0.00</v>
      </c>
      <c r="AA23" s="363">
        <f t="shared" si="43"/>
        <v>0</v>
      </c>
      <c r="AB23" s="364">
        <f t="shared" ref="AB23:AB31" si="52">AA23*12*$AA$7</f>
        <v>0</v>
      </c>
      <c r="AC23" s="365" t="str">
        <f t="shared" si="44"/>
        <v>$0.00</v>
      </c>
      <c r="AD23" s="366">
        <f>H23+K23+N23+Q23+T23+W23+Z23+AC23</f>
        <v>0</v>
      </c>
      <c r="AF23" s="380"/>
      <c r="AG23" s="439" t="str">
        <f t="shared" si="26"/>
        <v>$0.00</v>
      </c>
      <c r="AH23" s="439" t="str">
        <f t="shared" si="27"/>
        <v>$0.00</v>
      </c>
      <c r="AI23" s="439" t="str">
        <f t="shared" si="28"/>
        <v>$0.00</v>
      </c>
      <c r="AJ23" s="439" t="str">
        <f t="shared" si="13"/>
        <v>$0.00</v>
      </c>
      <c r="AK23" s="439" t="str">
        <f t="shared" si="14"/>
        <v>$0.00</v>
      </c>
      <c r="AL23" s="439" t="str">
        <f t="shared" si="15"/>
        <v>$0.00</v>
      </c>
      <c r="AM23" s="439" t="str">
        <f t="shared" si="16"/>
        <v>$0.00</v>
      </c>
      <c r="AN23" s="447" t="str">
        <f t="shared" si="17"/>
        <v>$0.00</v>
      </c>
      <c r="AO23" s="368">
        <f t="shared" si="45"/>
        <v>0</v>
      </c>
    </row>
    <row r="24" spans="1:41" s="333" customFormat="1">
      <c r="A24" s="359"/>
      <c r="B24" s="360"/>
      <c r="C24" s="382" t="str">
        <f>IF(B24='Effort and OPS Salary'!$B$14,'Effort and OPS Salary'!$C$14:$C$14,IF(B24='Effort and OPS Salary'!$B$15,'Effort and OPS Salary'!$C$15:$C$15,IF(B24='Effort and OPS Salary'!$B$16,'Effort and OPS Salary'!$C$16:$C$16,IF(B24='Effort and OPS Salary'!$B$17,'Effort and OPS Salary'!$C$17:$C$17,IF(B24='Effort and OPS Salary'!$B$18,'Effort and OPS Salary'!$C$18:$C$18,IF(B24='Effort and OPS Salary'!$B$19,'Effort and OPS Salary'!$C$19:$C$19,IF(B24='Effort and OPS Salary'!$B$20,'Effort and OPS Salary'!$C$20:$C$20,IF(B24='Effort and OPS Salary'!$B$21,'Effort and OPS Salary'!$C$21:$C$21,IF(B24='Effort and OPS Salary'!$B$22,'Effort and OPS Salary'!$C$22:$C$22,"")))))))))</f>
        <v/>
      </c>
      <c r="D24" s="362">
        <v>0</v>
      </c>
      <c r="E24" s="362">
        <f t="shared" si="46"/>
        <v>0</v>
      </c>
      <c r="F24" s="363">
        <v>0</v>
      </c>
      <c r="G24" s="364">
        <f t="shared" si="47"/>
        <v>0</v>
      </c>
      <c r="H24" s="365" t="str">
        <f t="shared" si="34"/>
        <v>$0.00</v>
      </c>
      <c r="I24" s="363">
        <f t="shared" si="30"/>
        <v>0</v>
      </c>
      <c r="J24" s="364">
        <f t="shared" si="48"/>
        <v>0</v>
      </c>
      <c r="K24" s="365" t="str">
        <f t="shared" si="35"/>
        <v>$0.00</v>
      </c>
      <c r="L24" s="363">
        <f t="shared" si="31"/>
        <v>0</v>
      </c>
      <c r="M24" s="364">
        <f t="shared" si="49"/>
        <v>0</v>
      </c>
      <c r="N24" s="365" t="str">
        <f t="shared" si="36"/>
        <v>$0.00</v>
      </c>
      <c r="O24" s="363">
        <f t="shared" si="32"/>
        <v>0</v>
      </c>
      <c r="P24" s="364">
        <f t="shared" si="4"/>
        <v>0</v>
      </c>
      <c r="Q24" s="365" t="str">
        <f t="shared" si="37"/>
        <v>$0.00</v>
      </c>
      <c r="R24" s="363">
        <f t="shared" si="33"/>
        <v>0</v>
      </c>
      <c r="S24" s="364">
        <f t="shared" si="21"/>
        <v>0</v>
      </c>
      <c r="T24" s="365" t="str">
        <f t="shared" si="38"/>
        <v>$0.00</v>
      </c>
      <c r="U24" s="363">
        <f t="shared" si="39"/>
        <v>0</v>
      </c>
      <c r="V24" s="364">
        <f t="shared" si="50"/>
        <v>0</v>
      </c>
      <c r="W24" s="365" t="str">
        <f t="shared" si="40"/>
        <v>$0.00</v>
      </c>
      <c r="X24" s="363">
        <f t="shared" si="41"/>
        <v>0</v>
      </c>
      <c r="Y24" s="364">
        <f t="shared" si="51"/>
        <v>0</v>
      </c>
      <c r="Z24" s="365" t="str">
        <f t="shared" si="42"/>
        <v>$0.00</v>
      </c>
      <c r="AA24" s="363">
        <f t="shared" si="43"/>
        <v>0</v>
      </c>
      <c r="AB24" s="364">
        <f t="shared" si="52"/>
        <v>0</v>
      </c>
      <c r="AC24" s="365" t="str">
        <f t="shared" si="44"/>
        <v>$0.00</v>
      </c>
      <c r="AD24" s="366">
        <f t="shared" si="25"/>
        <v>0</v>
      </c>
      <c r="AF24" s="380"/>
      <c r="AG24" s="439" t="str">
        <f t="shared" si="26"/>
        <v>$0.00</v>
      </c>
      <c r="AH24" s="439" t="str">
        <f t="shared" si="27"/>
        <v>$0.00</v>
      </c>
      <c r="AI24" s="439" t="str">
        <f t="shared" si="28"/>
        <v>$0.00</v>
      </c>
      <c r="AJ24" s="439" t="str">
        <f t="shared" si="13"/>
        <v>$0.00</v>
      </c>
      <c r="AK24" s="439" t="str">
        <f t="shared" si="14"/>
        <v>$0.00</v>
      </c>
      <c r="AL24" s="439" t="str">
        <f t="shared" si="15"/>
        <v>$0.00</v>
      </c>
      <c r="AM24" s="439" t="str">
        <f t="shared" si="16"/>
        <v>$0.00</v>
      </c>
      <c r="AN24" s="447" t="str">
        <f t="shared" si="17"/>
        <v>$0.00</v>
      </c>
      <c r="AO24" s="381">
        <f t="shared" si="45"/>
        <v>0</v>
      </c>
    </row>
    <row r="25" spans="1:41" s="333" customFormat="1">
      <c r="A25" s="359"/>
      <c r="B25" s="360"/>
      <c r="C25" s="382" t="str">
        <f>IF(B25='Effort and OPS Salary'!$B$14,'Effort and OPS Salary'!$C$14:$C$14,IF(B25='Effort and OPS Salary'!$B$15,'Effort and OPS Salary'!$C$15:$C$15,IF(B25='Effort and OPS Salary'!$B$16,'Effort and OPS Salary'!$C$16:$C$16,IF(B25='Effort and OPS Salary'!$B$17,'Effort and OPS Salary'!$C$17:$C$17,IF(B25='Effort and OPS Salary'!$B$18,'Effort and OPS Salary'!$C$18:$C$18,IF(B25='Effort and OPS Salary'!$B$19,'Effort and OPS Salary'!$C$19:$C$19,IF(B25='Effort and OPS Salary'!$B$20,'Effort and OPS Salary'!$C$20:$C$20,IF(B25='Effort and OPS Salary'!$B$21,'Effort and OPS Salary'!$C$21:$C$21,IF(B25='Effort and OPS Salary'!$B$22,'Effort and OPS Salary'!$C$22:$C$22,"")))))))))</f>
        <v/>
      </c>
      <c r="D25" s="362">
        <v>0</v>
      </c>
      <c r="E25" s="362">
        <f t="shared" si="46"/>
        <v>0</v>
      </c>
      <c r="F25" s="363">
        <v>0</v>
      </c>
      <c r="G25" s="364">
        <f t="shared" si="47"/>
        <v>0</v>
      </c>
      <c r="H25" s="365" t="str">
        <f t="shared" si="34"/>
        <v>$0.00</v>
      </c>
      <c r="I25" s="363">
        <f t="shared" si="30"/>
        <v>0</v>
      </c>
      <c r="J25" s="364">
        <f t="shared" si="48"/>
        <v>0</v>
      </c>
      <c r="K25" s="365" t="str">
        <f t="shared" si="35"/>
        <v>$0.00</v>
      </c>
      <c r="L25" s="363">
        <f t="shared" si="31"/>
        <v>0</v>
      </c>
      <c r="M25" s="364">
        <f t="shared" si="49"/>
        <v>0</v>
      </c>
      <c r="N25" s="365" t="str">
        <f t="shared" si="36"/>
        <v>$0.00</v>
      </c>
      <c r="O25" s="363">
        <f t="shared" si="32"/>
        <v>0</v>
      </c>
      <c r="P25" s="364">
        <f t="shared" si="4"/>
        <v>0</v>
      </c>
      <c r="Q25" s="365" t="str">
        <f t="shared" si="37"/>
        <v>$0.00</v>
      </c>
      <c r="R25" s="363">
        <f t="shared" si="33"/>
        <v>0</v>
      </c>
      <c r="S25" s="364">
        <f t="shared" si="21"/>
        <v>0</v>
      </c>
      <c r="T25" s="365" t="str">
        <f t="shared" si="38"/>
        <v>$0.00</v>
      </c>
      <c r="U25" s="363">
        <f t="shared" si="39"/>
        <v>0</v>
      </c>
      <c r="V25" s="364">
        <f t="shared" si="50"/>
        <v>0</v>
      </c>
      <c r="W25" s="365" t="str">
        <f t="shared" si="40"/>
        <v>$0.00</v>
      </c>
      <c r="X25" s="363">
        <f t="shared" si="41"/>
        <v>0</v>
      </c>
      <c r="Y25" s="364">
        <f t="shared" si="51"/>
        <v>0</v>
      </c>
      <c r="Z25" s="365" t="str">
        <f t="shared" si="42"/>
        <v>$0.00</v>
      </c>
      <c r="AA25" s="363">
        <f t="shared" si="43"/>
        <v>0</v>
      </c>
      <c r="AB25" s="364">
        <f t="shared" si="52"/>
        <v>0</v>
      </c>
      <c r="AC25" s="365" t="str">
        <f t="shared" si="44"/>
        <v>$0.00</v>
      </c>
      <c r="AD25" s="366">
        <f t="shared" si="25"/>
        <v>0</v>
      </c>
      <c r="AF25" s="380"/>
      <c r="AG25" s="439" t="str">
        <f t="shared" si="26"/>
        <v>$0.00</v>
      </c>
      <c r="AH25" s="439" t="str">
        <f t="shared" si="27"/>
        <v>$0.00</v>
      </c>
      <c r="AI25" s="439" t="str">
        <f t="shared" si="28"/>
        <v>$0.00</v>
      </c>
      <c r="AJ25" s="439" t="str">
        <f t="shared" si="13"/>
        <v>$0.00</v>
      </c>
      <c r="AK25" s="439" t="str">
        <f t="shared" si="14"/>
        <v>$0.00</v>
      </c>
      <c r="AL25" s="439" t="str">
        <f t="shared" si="15"/>
        <v>$0.00</v>
      </c>
      <c r="AM25" s="439" t="str">
        <f t="shared" si="16"/>
        <v>$0.00</v>
      </c>
      <c r="AN25" s="447" t="str">
        <f t="shared" si="17"/>
        <v>$0.00</v>
      </c>
      <c r="AO25" s="381">
        <f t="shared" si="45"/>
        <v>0</v>
      </c>
    </row>
    <row r="26" spans="1:41" s="333" customFormat="1">
      <c r="A26" s="359"/>
      <c r="B26" s="360"/>
      <c r="C26" s="382" t="str">
        <f>IF(B26='Effort and OPS Salary'!$B$14,'Effort and OPS Salary'!$C$14:$C$14,IF(B26='Effort and OPS Salary'!$B$15,'Effort and OPS Salary'!$C$15:$C$15,IF(B26='Effort and OPS Salary'!$B$16,'Effort and OPS Salary'!$C$16:$C$16,IF(B26='Effort and OPS Salary'!$B$17,'Effort and OPS Salary'!$C$17:$C$17,IF(B26='Effort and OPS Salary'!$B$18,'Effort and OPS Salary'!$C$18:$C$18,IF(B26='Effort and OPS Salary'!$B$19,'Effort and OPS Salary'!$C$19:$C$19,IF(B26='Effort and OPS Salary'!$B$20,'Effort and OPS Salary'!$C$20:$C$20,IF(B26='Effort and OPS Salary'!$B$21,'Effort and OPS Salary'!$C$21:$C$21,IF(B26='Effort and OPS Salary'!$B$22,'Effort and OPS Salary'!$C$22:$C$22,"")))))))))</f>
        <v/>
      </c>
      <c r="D26" s="362">
        <v>0</v>
      </c>
      <c r="E26" s="362">
        <f t="shared" si="46"/>
        <v>0</v>
      </c>
      <c r="F26" s="363">
        <v>0</v>
      </c>
      <c r="G26" s="364">
        <f t="shared" si="47"/>
        <v>0</v>
      </c>
      <c r="H26" s="365" t="str">
        <f t="shared" si="34"/>
        <v>$0.00</v>
      </c>
      <c r="I26" s="363">
        <f t="shared" si="30"/>
        <v>0</v>
      </c>
      <c r="J26" s="364">
        <f t="shared" si="48"/>
        <v>0</v>
      </c>
      <c r="K26" s="365" t="str">
        <f t="shared" si="35"/>
        <v>$0.00</v>
      </c>
      <c r="L26" s="363">
        <f t="shared" si="31"/>
        <v>0</v>
      </c>
      <c r="M26" s="364">
        <f t="shared" si="49"/>
        <v>0</v>
      </c>
      <c r="N26" s="365" t="str">
        <f t="shared" si="36"/>
        <v>$0.00</v>
      </c>
      <c r="O26" s="363">
        <f t="shared" si="32"/>
        <v>0</v>
      </c>
      <c r="P26" s="364">
        <f t="shared" si="4"/>
        <v>0</v>
      </c>
      <c r="Q26" s="365" t="str">
        <f t="shared" si="37"/>
        <v>$0.00</v>
      </c>
      <c r="R26" s="363">
        <f t="shared" si="33"/>
        <v>0</v>
      </c>
      <c r="S26" s="364">
        <f t="shared" si="21"/>
        <v>0</v>
      </c>
      <c r="T26" s="365" t="str">
        <f t="shared" si="38"/>
        <v>$0.00</v>
      </c>
      <c r="U26" s="363">
        <f t="shared" si="39"/>
        <v>0</v>
      </c>
      <c r="V26" s="364">
        <f t="shared" si="50"/>
        <v>0</v>
      </c>
      <c r="W26" s="365" t="str">
        <f t="shared" si="40"/>
        <v>$0.00</v>
      </c>
      <c r="X26" s="363">
        <f t="shared" si="41"/>
        <v>0</v>
      </c>
      <c r="Y26" s="364">
        <f t="shared" si="51"/>
        <v>0</v>
      </c>
      <c r="Z26" s="365" t="str">
        <f t="shared" si="42"/>
        <v>$0.00</v>
      </c>
      <c r="AA26" s="363">
        <f t="shared" si="43"/>
        <v>0</v>
      </c>
      <c r="AB26" s="364">
        <f t="shared" si="52"/>
        <v>0</v>
      </c>
      <c r="AC26" s="365" t="str">
        <f t="shared" si="44"/>
        <v>$0.00</v>
      </c>
      <c r="AD26" s="366">
        <f t="shared" si="25"/>
        <v>0</v>
      </c>
      <c r="AF26" s="380"/>
      <c r="AG26" s="440" t="str">
        <f t="shared" si="26"/>
        <v>$0.00</v>
      </c>
      <c r="AH26" s="440" t="str">
        <f t="shared" si="27"/>
        <v>$0.00</v>
      </c>
      <c r="AI26" s="440" t="str">
        <f t="shared" si="28"/>
        <v>$0.00</v>
      </c>
      <c r="AJ26" s="440" t="str">
        <f t="shared" si="13"/>
        <v>$0.00</v>
      </c>
      <c r="AK26" s="440" t="str">
        <f t="shared" si="14"/>
        <v>$0.00</v>
      </c>
      <c r="AL26" s="441" t="str">
        <f t="shared" si="15"/>
        <v>$0.00</v>
      </c>
      <c r="AM26" s="439" t="str">
        <f t="shared" si="16"/>
        <v>$0.00</v>
      </c>
      <c r="AN26" s="447" t="str">
        <f t="shared" si="17"/>
        <v>$0.00</v>
      </c>
      <c r="AO26" s="381">
        <f t="shared" si="45"/>
        <v>0</v>
      </c>
    </row>
    <row r="27" spans="1:41" s="360" customFormat="1" hidden="1" outlineLevel="1">
      <c r="A27" s="359"/>
      <c r="C27" s="382" t="str">
        <f>IF(B27='Effort and OPS Salary'!$B$14,'Effort and OPS Salary'!$C$14:$C$14,IF(B27='Effort and OPS Salary'!$B$15,'Effort and OPS Salary'!$C$15:$C$15,IF(B27='Effort and OPS Salary'!$B$16,'Effort and OPS Salary'!$C$16:$C$16,IF(B27='Effort and OPS Salary'!$B$17,'Effort and OPS Salary'!$C$17:$C$17,IF(B27='Effort and OPS Salary'!$B$18,'Effort and OPS Salary'!$C$18:$C$18,IF(B27='Effort and OPS Salary'!$B$19,'Effort and OPS Salary'!$C$19:$C$19,IF(B27='Effort and OPS Salary'!$B$20,'Effort and OPS Salary'!$C$20:$C$20,IF(B27='Effort and OPS Salary'!$B$21,'Effort and OPS Salary'!$C$21:$C$21,IF(B27='Effort and OPS Salary'!$B$22,'Effort and OPS Salary'!$C$22:$C$22,"")))))))))</f>
        <v/>
      </c>
      <c r="D27" s="362">
        <v>0</v>
      </c>
      <c r="E27" s="362">
        <f t="shared" si="46"/>
        <v>0</v>
      </c>
      <c r="F27" s="363">
        <v>0</v>
      </c>
      <c r="G27" s="364">
        <f t="shared" si="47"/>
        <v>0</v>
      </c>
      <c r="H27" s="365" t="str">
        <f t="shared" si="34"/>
        <v>$0.00</v>
      </c>
      <c r="I27" s="363">
        <f t="shared" si="30"/>
        <v>0</v>
      </c>
      <c r="J27" s="364">
        <f t="shared" si="48"/>
        <v>0</v>
      </c>
      <c r="K27" s="365" t="str">
        <f t="shared" si="35"/>
        <v>$0.00</v>
      </c>
      <c r="L27" s="363">
        <f t="shared" si="31"/>
        <v>0</v>
      </c>
      <c r="M27" s="364">
        <f t="shared" si="49"/>
        <v>0</v>
      </c>
      <c r="N27" s="365" t="str">
        <f t="shared" si="36"/>
        <v>$0.00</v>
      </c>
      <c r="O27" s="363">
        <f t="shared" si="32"/>
        <v>0</v>
      </c>
      <c r="P27" s="364">
        <f t="shared" si="4"/>
        <v>0</v>
      </c>
      <c r="Q27" s="365" t="str">
        <f t="shared" si="37"/>
        <v>$0.00</v>
      </c>
      <c r="R27" s="363">
        <f t="shared" si="33"/>
        <v>0</v>
      </c>
      <c r="S27" s="364">
        <f t="shared" si="21"/>
        <v>0</v>
      </c>
      <c r="T27" s="365" t="str">
        <f t="shared" si="38"/>
        <v>$0.00</v>
      </c>
      <c r="U27" s="363">
        <f t="shared" si="39"/>
        <v>0</v>
      </c>
      <c r="V27" s="364">
        <f t="shared" si="50"/>
        <v>0</v>
      </c>
      <c r="W27" s="365" t="str">
        <f t="shared" si="40"/>
        <v>$0.00</v>
      </c>
      <c r="X27" s="363">
        <f t="shared" si="41"/>
        <v>0</v>
      </c>
      <c r="Y27" s="364">
        <f t="shared" si="51"/>
        <v>0</v>
      </c>
      <c r="Z27" s="365" t="str">
        <f t="shared" si="42"/>
        <v>$0.00</v>
      </c>
      <c r="AA27" s="363">
        <f t="shared" si="43"/>
        <v>0</v>
      </c>
      <c r="AB27" s="364">
        <f t="shared" si="52"/>
        <v>0</v>
      </c>
      <c r="AC27" s="365" t="str">
        <f t="shared" si="44"/>
        <v>$0.00</v>
      </c>
      <c r="AD27" s="366">
        <f t="shared" si="25"/>
        <v>0</v>
      </c>
      <c r="AG27" s="439" t="str">
        <f t="shared" si="26"/>
        <v>$0.00</v>
      </c>
      <c r="AH27" s="439" t="str">
        <f t="shared" si="27"/>
        <v>$0.00</v>
      </c>
      <c r="AI27" s="439" t="str">
        <f t="shared" si="28"/>
        <v>$0.00</v>
      </c>
      <c r="AJ27" s="439" t="str">
        <f t="shared" si="13"/>
        <v>$0.00</v>
      </c>
      <c r="AK27" s="439" t="str">
        <f t="shared" si="14"/>
        <v>$0.00</v>
      </c>
      <c r="AL27" s="439" t="str">
        <f t="shared" si="15"/>
        <v>$0.00</v>
      </c>
      <c r="AM27" s="439" t="str">
        <f t="shared" si="16"/>
        <v>$0.00</v>
      </c>
      <c r="AN27" s="447" t="str">
        <f>IFERROR(ROUND(MIN(IF(CAP="none",1000000,CAP*AB27/$AA$8*AA$7),N27*AB27/$AA$8*AA$7),0)*(1+B$6)^8*C27,"$0.00")</f>
        <v>$0.00</v>
      </c>
      <c r="AO27" s="381">
        <f t="shared" si="45"/>
        <v>0</v>
      </c>
    </row>
    <row r="28" spans="1:41" s="360" customFormat="1" hidden="1" outlineLevel="1">
      <c r="A28" s="359"/>
      <c r="C28" s="382" t="str">
        <f>IF(B28='Effort and OPS Salary'!$B$14,'Effort and OPS Salary'!$C$14:$C$14,IF(B28='Effort and OPS Salary'!$B$15,'Effort and OPS Salary'!$C$15:$C$15,IF(B28='Effort and OPS Salary'!$B$16,'Effort and OPS Salary'!$C$16:$C$16,IF(B28='Effort and OPS Salary'!$B$17,'Effort and OPS Salary'!$C$17:$C$17,IF(B28='Effort and OPS Salary'!$B$18,'Effort and OPS Salary'!$C$18:$C$18,IF(B28='Effort and OPS Salary'!$B$19,'Effort and OPS Salary'!$C$19:$C$19,IF(B28='Effort and OPS Salary'!$B$20,'Effort and OPS Salary'!$C$20:$C$20,IF(B28='Effort and OPS Salary'!$B$21,'Effort and OPS Salary'!$C$21:$C$21,IF(B28='Effort and OPS Salary'!$B$22,'Effort and OPS Salary'!$C$22:$C$22,"")))))))))</f>
        <v/>
      </c>
      <c r="D28" s="362">
        <v>0</v>
      </c>
      <c r="E28" s="362">
        <f t="shared" si="46"/>
        <v>0</v>
      </c>
      <c r="F28" s="363">
        <v>0</v>
      </c>
      <c r="G28" s="364">
        <f t="shared" si="47"/>
        <v>0</v>
      </c>
      <c r="H28" s="365" t="str">
        <f t="shared" si="34"/>
        <v>$0.00</v>
      </c>
      <c r="I28" s="363">
        <f t="shared" si="30"/>
        <v>0</v>
      </c>
      <c r="J28" s="364">
        <f t="shared" si="48"/>
        <v>0</v>
      </c>
      <c r="K28" s="365" t="str">
        <f t="shared" si="35"/>
        <v>$0.00</v>
      </c>
      <c r="L28" s="363">
        <f t="shared" si="31"/>
        <v>0</v>
      </c>
      <c r="M28" s="364">
        <f t="shared" si="49"/>
        <v>0</v>
      </c>
      <c r="N28" s="365" t="str">
        <f t="shared" si="36"/>
        <v>$0.00</v>
      </c>
      <c r="O28" s="363">
        <f t="shared" si="32"/>
        <v>0</v>
      </c>
      <c r="P28" s="364">
        <f t="shared" si="4"/>
        <v>0</v>
      </c>
      <c r="Q28" s="365" t="str">
        <f t="shared" si="37"/>
        <v>$0.00</v>
      </c>
      <c r="R28" s="363">
        <f t="shared" si="33"/>
        <v>0</v>
      </c>
      <c r="S28" s="364">
        <f t="shared" si="21"/>
        <v>0</v>
      </c>
      <c r="T28" s="365" t="str">
        <f t="shared" si="38"/>
        <v>$0.00</v>
      </c>
      <c r="U28" s="363">
        <f t="shared" si="39"/>
        <v>0</v>
      </c>
      <c r="V28" s="364">
        <f t="shared" si="50"/>
        <v>0</v>
      </c>
      <c r="W28" s="365" t="str">
        <f t="shared" si="40"/>
        <v>$0.00</v>
      </c>
      <c r="X28" s="363">
        <f t="shared" si="41"/>
        <v>0</v>
      </c>
      <c r="Y28" s="364">
        <f t="shared" si="51"/>
        <v>0</v>
      </c>
      <c r="Z28" s="365" t="str">
        <f t="shared" si="42"/>
        <v>$0.00</v>
      </c>
      <c r="AA28" s="363">
        <f t="shared" si="43"/>
        <v>0</v>
      </c>
      <c r="AB28" s="364">
        <f t="shared" si="52"/>
        <v>0</v>
      </c>
      <c r="AC28" s="365" t="str">
        <f t="shared" si="44"/>
        <v>$0.00</v>
      </c>
      <c r="AD28" s="366">
        <f t="shared" si="25"/>
        <v>0</v>
      </c>
      <c r="AG28" s="439" t="str">
        <f t="shared" si="26"/>
        <v>$0.00</v>
      </c>
      <c r="AH28" s="439" t="str">
        <f t="shared" si="27"/>
        <v>$0.00</v>
      </c>
      <c r="AI28" s="439" t="str">
        <f t="shared" si="28"/>
        <v>$0.00</v>
      </c>
      <c r="AJ28" s="439" t="str">
        <f t="shared" si="13"/>
        <v>$0.00</v>
      </c>
      <c r="AK28" s="439" t="str">
        <f t="shared" si="14"/>
        <v>$0.00</v>
      </c>
      <c r="AL28" s="439" t="str">
        <f t="shared" si="15"/>
        <v>$0.00</v>
      </c>
      <c r="AM28" s="439" t="str">
        <f t="shared" si="16"/>
        <v>$0.00</v>
      </c>
      <c r="AN28" s="447" t="str">
        <f>IFERROR(ROUND(MIN(IF(CAP="none",1000000,CAP*AB28/$AA$8*AA$7),N28*AB28/$AA$8*AA$7),0)*(1+B$6)^8*C28,"$0.00")</f>
        <v>$0.00</v>
      </c>
      <c r="AO28" s="381">
        <f t="shared" si="45"/>
        <v>0</v>
      </c>
    </row>
    <row r="29" spans="1:41" s="360" customFormat="1" hidden="1" outlineLevel="1">
      <c r="A29" s="359"/>
      <c r="C29" s="382" t="str">
        <f>IF(B29='Effort and OPS Salary'!$B$14,'Effort and OPS Salary'!$C$14:$C$14,IF(B29='Effort and OPS Salary'!$B$15,'Effort and OPS Salary'!$C$15:$C$15,IF(B29='Effort and OPS Salary'!$B$16,'Effort and OPS Salary'!$C$16:$C$16,IF(B29='Effort and OPS Salary'!$B$17,'Effort and OPS Salary'!$C$17:$C$17,IF(B29='Effort and OPS Salary'!$B$18,'Effort and OPS Salary'!$C$18:$C$18,IF(B29='Effort and OPS Salary'!$B$19,'Effort and OPS Salary'!$C$19:$C$19,IF(B29='Effort and OPS Salary'!$B$20,'Effort and OPS Salary'!$C$20:$C$20,IF(B29='Effort and OPS Salary'!$B$21,'Effort and OPS Salary'!$C$21:$C$21,IF(B29='Effort and OPS Salary'!$B$22,'Effort and OPS Salary'!$C$22:$C$22,"")))))))))</f>
        <v/>
      </c>
      <c r="D29" s="362">
        <v>0</v>
      </c>
      <c r="E29" s="362">
        <f t="shared" si="46"/>
        <v>0</v>
      </c>
      <c r="F29" s="363">
        <v>0</v>
      </c>
      <c r="G29" s="364">
        <f t="shared" si="47"/>
        <v>0</v>
      </c>
      <c r="H29" s="365" t="str">
        <f t="shared" si="34"/>
        <v>$0.00</v>
      </c>
      <c r="I29" s="363">
        <f t="shared" si="30"/>
        <v>0</v>
      </c>
      <c r="J29" s="364">
        <f t="shared" si="48"/>
        <v>0</v>
      </c>
      <c r="K29" s="365" t="str">
        <f t="shared" si="35"/>
        <v>$0.00</v>
      </c>
      <c r="L29" s="363">
        <f t="shared" si="31"/>
        <v>0</v>
      </c>
      <c r="M29" s="364">
        <f t="shared" si="49"/>
        <v>0</v>
      </c>
      <c r="N29" s="365" t="str">
        <f t="shared" si="36"/>
        <v>$0.00</v>
      </c>
      <c r="O29" s="363">
        <f t="shared" si="32"/>
        <v>0</v>
      </c>
      <c r="P29" s="364">
        <f t="shared" si="4"/>
        <v>0</v>
      </c>
      <c r="Q29" s="365" t="str">
        <f t="shared" si="37"/>
        <v>$0.00</v>
      </c>
      <c r="R29" s="363">
        <f t="shared" si="33"/>
        <v>0</v>
      </c>
      <c r="S29" s="364">
        <f t="shared" si="21"/>
        <v>0</v>
      </c>
      <c r="T29" s="365" t="str">
        <f t="shared" si="38"/>
        <v>$0.00</v>
      </c>
      <c r="U29" s="363">
        <f t="shared" si="39"/>
        <v>0</v>
      </c>
      <c r="V29" s="364">
        <f t="shared" si="50"/>
        <v>0</v>
      </c>
      <c r="W29" s="365" t="str">
        <f t="shared" si="40"/>
        <v>$0.00</v>
      </c>
      <c r="X29" s="363">
        <f t="shared" si="41"/>
        <v>0</v>
      </c>
      <c r="Y29" s="364">
        <f t="shared" si="51"/>
        <v>0</v>
      </c>
      <c r="Z29" s="365" t="str">
        <f t="shared" si="42"/>
        <v>$0.00</v>
      </c>
      <c r="AA29" s="363">
        <f t="shared" si="43"/>
        <v>0</v>
      </c>
      <c r="AB29" s="364">
        <f t="shared" si="52"/>
        <v>0</v>
      </c>
      <c r="AC29" s="365" t="str">
        <f t="shared" si="44"/>
        <v>$0.00</v>
      </c>
      <c r="AD29" s="366">
        <f t="shared" si="25"/>
        <v>0</v>
      </c>
      <c r="AG29" s="439" t="str">
        <f t="shared" si="26"/>
        <v>$0.00</v>
      </c>
      <c r="AH29" s="439" t="str">
        <f t="shared" si="27"/>
        <v>$0.00</v>
      </c>
      <c r="AI29" s="439" t="str">
        <f t="shared" si="28"/>
        <v>$0.00</v>
      </c>
      <c r="AJ29" s="439" t="str">
        <f t="shared" si="13"/>
        <v>$0.00</v>
      </c>
      <c r="AK29" s="439" t="str">
        <f t="shared" si="14"/>
        <v>$0.00</v>
      </c>
      <c r="AL29" s="439" t="str">
        <f t="shared" si="15"/>
        <v>$0.00</v>
      </c>
      <c r="AM29" s="439" t="str">
        <f t="shared" si="16"/>
        <v>$0.00</v>
      </c>
      <c r="AN29" s="447" t="str">
        <f>IFERROR(ROUND(MIN(IF(CAP="none",1000000,CAP*AB29/$AA$8*AA$7),N29*AB29/$AA$8*AA$7),0)*(1+B$6)^8*C29,"$0.00")</f>
        <v>$0.00</v>
      </c>
      <c r="AO29" s="368">
        <f t="shared" si="45"/>
        <v>0</v>
      </c>
    </row>
    <row r="30" spans="1:41" s="360" customFormat="1" hidden="1" outlineLevel="1">
      <c r="A30" s="359"/>
      <c r="C30" s="382" t="str">
        <f>IF(B30='Effort and OPS Salary'!$B$14,'Effort and OPS Salary'!$C$14:$C$14,IF(B30='Effort and OPS Salary'!$B$15,'Effort and OPS Salary'!$C$15:$C$15,IF(B30='Effort and OPS Salary'!$B$16,'Effort and OPS Salary'!$C$16:$C$16,IF(B30='Effort and OPS Salary'!$B$17,'Effort and OPS Salary'!$C$17:$C$17,IF(B30='Effort and OPS Salary'!$B$18,'Effort and OPS Salary'!$C$18:$C$18,IF(B30='Effort and OPS Salary'!$B$19,'Effort and OPS Salary'!$C$19:$C$19,IF(B30='Effort and OPS Salary'!$B$20,'Effort and OPS Salary'!$C$20:$C$20,IF(B30='Effort and OPS Salary'!$B$21,'Effort and OPS Salary'!$C$21:$C$21,IF(B30='Effort and OPS Salary'!$B$22,'Effort and OPS Salary'!$C$22:$C$22,"")))))))))</f>
        <v/>
      </c>
      <c r="D30" s="362">
        <v>0</v>
      </c>
      <c r="E30" s="362">
        <f t="shared" si="46"/>
        <v>0</v>
      </c>
      <c r="F30" s="363">
        <v>0</v>
      </c>
      <c r="G30" s="364">
        <f t="shared" si="47"/>
        <v>0</v>
      </c>
      <c r="H30" s="365" t="str">
        <f t="shared" si="34"/>
        <v>$0.00</v>
      </c>
      <c r="I30" s="363">
        <f t="shared" si="30"/>
        <v>0</v>
      </c>
      <c r="J30" s="364">
        <f t="shared" si="48"/>
        <v>0</v>
      </c>
      <c r="K30" s="365" t="str">
        <f t="shared" si="35"/>
        <v>$0.00</v>
      </c>
      <c r="L30" s="363">
        <f t="shared" si="31"/>
        <v>0</v>
      </c>
      <c r="M30" s="364">
        <f t="shared" si="49"/>
        <v>0</v>
      </c>
      <c r="N30" s="365" t="str">
        <f t="shared" si="36"/>
        <v>$0.00</v>
      </c>
      <c r="O30" s="363">
        <f t="shared" si="32"/>
        <v>0</v>
      </c>
      <c r="P30" s="364">
        <f t="shared" si="4"/>
        <v>0</v>
      </c>
      <c r="Q30" s="365" t="str">
        <f t="shared" si="37"/>
        <v>$0.00</v>
      </c>
      <c r="R30" s="363">
        <f t="shared" si="33"/>
        <v>0</v>
      </c>
      <c r="S30" s="364">
        <f t="shared" si="21"/>
        <v>0</v>
      </c>
      <c r="T30" s="365" t="str">
        <f t="shared" si="38"/>
        <v>$0.00</v>
      </c>
      <c r="U30" s="363">
        <f t="shared" si="39"/>
        <v>0</v>
      </c>
      <c r="V30" s="364">
        <f t="shared" si="50"/>
        <v>0</v>
      </c>
      <c r="W30" s="365" t="str">
        <f t="shared" si="40"/>
        <v>$0.00</v>
      </c>
      <c r="X30" s="363">
        <f t="shared" si="41"/>
        <v>0</v>
      </c>
      <c r="Y30" s="364">
        <f t="shared" si="51"/>
        <v>0</v>
      </c>
      <c r="Z30" s="365" t="str">
        <f t="shared" si="42"/>
        <v>$0.00</v>
      </c>
      <c r="AA30" s="363">
        <f t="shared" si="43"/>
        <v>0</v>
      </c>
      <c r="AB30" s="364">
        <f t="shared" si="52"/>
        <v>0</v>
      </c>
      <c r="AC30" s="365" t="str">
        <f t="shared" si="44"/>
        <v>$0.00</v>
      </c>
      <c r="AD30" s="366">
        <f t="shared" si="25"/>
        <v>0</v>
      </c>
      <c r="AG30" s="439" t="str">
        <f t="shared" si="26"/>
        <v>$0.00</v>
      </c>
      <c r="AH30" s="439" t="str">
        <f t="shared" si="27"/>
        <v>$0.00</v>
      </c>
      <c r="AI30" s="439" t="str">
        <f t="shared" si="28"/>
        <v>$0.00</v>
      </c>
      <c r="AJ30" s="439" t="str">
        <f t="shared" si="13"/>
        <v>$0.00</v>
      </c>
      <c r="AK30" s="439" t="str">
        <f t="shared" si="14"/>
        <v>$0.00</v>
      </c>
      <c r="AL30" s="439" t="str">
        <f t="shared" si="15"/>
        <v>$0.00</v>
      </c>
      <c r="AM30" s="439" t="str">
        <f t="shared" si="16"/>
        <v>$0.00</v>
      </c>
      <c r="AN30" s="447" t="str">
        <f>IFERROR(ROUND(MIN(IF(CAP="none",1000000,CAP*AB30/$AA$8*AA$7),N30*AB30/$AA$8*AA$7),0)*(1+B$6)^8*C30,"$0.00")</f>
        <v>$0.00</v>
      </c>
      <c r="AO30" s="368">
        <f t="shared" si="45"/>
        <v>0</v>
      </c>
    </row>
    <row r="31" spans="1:41" s="360" customFormat="1" hidden="1" outlineLevel="1">
      <c r="A31" s="359"/>
      <c r="C31" s="382" t="str">
        <f>IF(B31='Effort and OPS Salary'!$B$14,'Effort and OPS Salary'!$C$14:$C$14,IF(B31='Effort and OPS Salary'!$B$15,'Effort and OPS Salary'!$C$15:$C$15,IF(B31='Effort and OPS Salary'!$B$16,'Effort and OPS Salary'!$C$16:$C$16,IF(B31='Effort and OPS Salary'!$B$17,'Effort and OPS Salary'!$C$17:$C$17,IF(B31='Effort and OPS Salary'!$B$18,'Effort and OPS Salary'!$C$18:$C$18,IF(B31='Effort and OPS Salary'!$B$19,'Effort and OPS Salary'!$C$19:$C$19,IF(B31='Effort and OPS Salary'!$B$20,'Effort and OPS Salary'!$C$20:$C$20,IF(B31='Effort and OPS Salary'!$B$21,'Effort and OPS Salary'!$C$21:$C$21,IF(B31='Effort and OPS Salary'!$B$22,'Effort and OPS Salary'!$C$22:$C$22,"")))))))))</f>
        <v/>
      </c>
      <c r="D31" s="362">
        <v>0</v>
      </c>
      <c r="E31" s="362">
        <f t="shared" si="46"/>
        <v>0</v>
      </c>
      <c r="F31" s="363">
        <v>0</v>
      </c>
      <c r="G31" s="364">
        <f t="shared" si="47"/>
        <v>0</v>
      </c>
      <c r="H31" s="365" t="str">
        <f t="shared" si="34"/>
        <v>$0.00</v>
      </c>
      <c r="I31" s="363">
        <f t="shared" si="30"/>
        <v>0</v>
      </c>
      <c r="J31" s="364">
        <f t="shared" si="48"/>
        <v>0</v>
      </c>
      <c r="K31" s="365" t="str">
        <f t="shared" si="35"/>
        <v>$0.00</v>
      </c>
      <c r="L31" s="363">
        <f t="shared" si="31"/>
        <v>0</v>
      </c>
      <c r="M31" s="364">
        <f t="shared" si="49"/>
        <v>0</v>
      </c>
      <c r="N31" s="365" t="str">
        <f t="shared" si="36"/>
        <v>$0.00</v>
      </c>
      <c r="O31" s="363">
        <f t="shared" si="32"/>
        <v>0</v>
      </c>
      <c r="P31" s="364">
        <f t="shared" si="4"/>
        <v>0</v>
      </c>
      <c r="Q31" s="365" t="str">
        <f t="shared" si="37"/>
        <v>$0.00</v>
      </c>
      <c r="R31" s="363">
        <f t="shared" si="33"/>
        <v>0</v>
      </c>
      <c r="S31" s="364">
        <f t="shared" si="21"/>
        <v>0</v>
      </c>
      <c r="T31" s="365" t="str">
        <f t="shared" si="38"/>
        <v>$0.00</v>
      </c>
      <c r="U31" s="363">
        <f t="shared" si="39"/>
        <v>0</v>
      </c>
      <c r="V31" s="364">
        <f t="shared" si="50"/>
        <v>0</v>
      </c>
      <c r="W31" s="365" t="str">
        <f t="shared" si="40"/>
        <v>$0.00</v>
      </c>
      <c r="X31" s="363">
        <f t="shared" si="41"/>
        <v>0</v>
      </c>
      <c r="Y31" s="364">
        <f t="shared" si="51"/>
        <v>0</v>
      </c>
      <c r="Z31" s="365" t="str">
        <f t="shared" si="42"/>
        <v>$0.00</v>
      </c>
      <c r="AA31" s="363">
        <f t="shared" si="43"/>
        <v>0</v>
      </c>
      <c r="AB31" s="364">
        <f t="shared" si="52"/>
        <v>0</v>
      </c>
      <c r="AC31" s="365" t="str">
        <f t="shared" si="44"/>
        <v>$0.00</v>
      </c>
      <c r="AD31" s="366">
        <f t="shared" si="25"/>
        <v>0</v>
      </c>
      <c r="AG31" s="440" t="str">
        <f t="shared" si="26"/>
        <v>$0.00</v>
      </c>
      <c r="AH31" s="440" t="str">
        <f t="shared" si="27"/>
        <v>$0.00</v>
      </c>
      <c r="AI31" s="440" t="str">
        <f t="shared" si="28"/>
        <v>$0.00</v>
      </c>
      <c r="AJ31" s="440" t="str">
        <f t="shared" si="13"/>
        <v>$0.00</v>
      </c>
      <c r="AK31" s="440" t="str">
        <f t="shared" si="14"/>
        <v>$0.00</v>
      </c>
      <c r="AL31" s="441" t="str">
        <f t="shared" si="15"/>
        <v>$0.00</v>
      </c>
      <c r="AM31" s="439" t="str">
        <f t="shared" si="16"/>
        <v>$0.00</v>
      </c>
      <c r="AN31" s="441" t="str">
        <f>IFERROR(ROUND(MIN(IF(CAP="none",1000000,CAP*AB31/$AA$8*AA$7),N31*AB31/$AA$8*AA$7),0)*(1+B$6)^8*C31,"$0.00")</f>
        <v>$0.00</v>
      </c>
      <c r="AO31" s="368">
        <f t="shared" si="45"/>
        <v>0</v>
      </c>
    </row>
    <row r="32" spans="1:41" s="384" customFormat="1" collapsed="1">
      <c r="A32" s="383"/>
      <c r="B32" s="383"/>
      <c r="C32" s="383"/>
      <c r="D32" s="383"/>
      <c r="E32" s="383"/>
      <c r="F32" s="383"/>
      <c r="G32" s="383"/>
      <c r="H32" s="383"/>
      <c r="I32" s="383"/>
      <c r="J32" s="383"/>
      <c r="K32" s="383"/>
      <c r="L32" s="383"/>
      <c r="M32" s="383"/>
      <c r="N32" s="383"/>
      <c r="O32" s="383"/>
      <c r="P32" s="383"/>
      <c r="Q32" s="383"/>
      <c r="R32" s="383"/>
      <c r="S32" s="383"/>
      <c r="T32" s="383"/>
      <c r="U32" s="383"/>
      <c r="V32" s="383"/>
      <c r="W32" s="383"/>
      <c r="X32" s="383"/>
      <c r="Y32" s="383"/>
      <c r="Z32" s="383"/>
      <c r="AA32" s="383"/>
      <c r="AB32" s="383"/>
      <c r="AC32" s="383"/>
      <c r="AD32" s="366"/>
      <c r="AM32" s="489" t="s">
        <v>204</v>
      </c>
      <c r="AN32" s="490"/>
      <c r="AO32" s="445">
        <f>SUM(AO11:AO26)</f>
        <v>0</v>
      </c>
    </row>
    <row r="33" spans="1:31" s="333" customFormat="1">
      <c r="F33" s="385" t="s">
        <v>104</v>
      </c>
      <c r="G33" s="386"/>
      <c r="H33" s="387">
        <f>SUM(H11:H20,H22:H31)</f>
        <v>0</v>
      </c>
      <c r="I33" s="388"/>
      <c r="J33" s="388"/>
      <c r="K33" s="387">
        <f>SUM(K11:K20,K22:K31)</f>
        <v>0</v>
      </c>
      <c r="L33" s="388"/>
      <c r="M33" s="388"/>
      <c r="N33" s="387">
        <f>SUM(N11:N20,N22:N31)</f>
        <v>0</v>
      </c>
      <c r="O33" s="388"/>
      <c r="P33" s="388"/>
      <c r="Q33" s="387">
        <f>SUM(Q11:Q20,Q22:Q31)</f>
        <v>0</v>
      </c>
      <c r="R33" s="388"/>
      <c r="S33" s="388"/>
      <c r="T33" s="387">
        <f>SUM(T11:T20,T22:T31)</f>
        <v>0</v>
      </c>
      <c r="U33" s="388"/>
      <c r="V33" s="388"/>
      <c r="W33" s="387">
        <f>SUM(W11:W20,W22:W31)</f>
        <v>0</v>
      </c>
      <c r="X33" s="388"/>
      <c r="Y33" s="388"/>
      <c r="Z33" s="387">
        <f>SUM(Z11:Z20,Z22:Z31)</f>
        <v>0</v>
      </c>
      <c r="AA33" s="388"/>
      <c r="AB33" s="388"/>
      <c r="AC33" s="387">
        <f>SUM(AC11:AC20,AC22:AC31)</f>
        <v>0</v>
      </c>
      <c r="AD33" s="366">
        <f>SUM(AD11:AD32)</f>
        <v>0</v>
      </c>
    </row>
    <row r="34" spans="1:31" s="333" customFormat="1">
      <c r="AD34" s="366"/>
    </row>
    <row r="35" spans="1:31" s="333" customFormat="1">
      <c r="A35" s="330" t="s">
        <v>25</v>
      </c>
      <c r="C35" s="389"/>
      <c r="F35" s="356" t="s">
        <v>201</v>
      </c>
      <c r="AD35" s="366"/>
    </row>
    <row r="36" spans="1:31" s="333" customFormat="1">
      <c r="F36" s="333" t="s">
        <v>13</v>
      </c>
      <c r="H36" s="390">
        <v>0</v>
      </c>
      <c r="I36" s="390"/>
      <c r="J36" s="390"/>
      <c r="K36" s="390">
        <v>0</v>
      </c>
      <c r="L36" s="390"/>
      <c r="M36" s="390"/>
      <c r="N36" s="390">
        <v>0</v>
      </c>
      <c r="O36" s="390"/>
      <c r="P36" s="390"/>
      <c r="Q36" s="390">
        <v>0</v>
      </c>
      <c r="R36" s="390"/>
      <c r="S36" s="390"/>
      <c r="T36" s="390">
        <v>0</v>
      </c>
      <c r="U36" s="390"/>
      <c r="V36" s="390"/>
      <c r="W36" s="390">
        <v>0</v>
      </c>
      <c r="X36" s="390"/>
      <c r="Y36" s="390"/>
      <c r="Z36" s="390">
        <v>0</v>
      </c>
      <c r="AA36" s="390"/>
      <c r="AB36" s="390"/>
      <c r="AC36" s="390">
        <v>0</v>
      </c>
      <c r="AD36" s="366">
        <f>H36+K36+N36+Q36+T36+W36+Z36+AC36</f>
        <v>0</v>
      </c>
    </row>
    <row r="37" spans="1:31" s="333" customFormat="1">
      <c r="A37" s="330"/>
      <c r="F37" s="333" t="s">
        <v>150</v>
      </c>
      <c r="H37" s="390">
        <v>0</v>
      </c>
      <c r="I37" s="390"/>
      <c r="J37" s="390"/>
      <c r="K37" s="390">
        <v>0</v>
      </c>
      <c r="L37" s="390"/>
      <c r="M37" s="390"/>
      <c r="N37" s="390">
        <v>0</v>
      </c>
      <c r="O37" s="390"/>
      <c r="P37" s="390"/>
      <c r="Q37" s="390">
        <v>0</v>
      </c>
      <c r="R37" s="390"/>
      <c r="S37" s="390"/>
      <c r="T37" s="390">
        <v>0</v>
      </c>
      <c r="U37" s="390"/>
      <c r="V37" s="390"/>
      <c r="W37" s="390">
        <v>0</v>
      </c>
      <c r="X37" s="390"/>
      <c r="Y37" s="390"/>
      <c r="Z37" s="390">
        <v>0</v>
      </c>
      <c r="AA37" s="390"/>
      <c r="AB37" s="390"/>
      <c r="AC37" s="390">
        <v>0</v>
      </c>
      <c r="AD37" s="366">
        <f>H37+K37+N37+Q37+T37+W37+Z37+AC37</f>
        <v>0</v>
      </c>
    </row>
    <row r="38" spans="1:31" s="333" customFormat="1">
      <c r="A38" s="330"/>
      <c r="F38" s="333" t="s">
        <v>14</v>
      </c>
      <c r="H38" s="390">
        <v>0</v>
      </c>
      <c r="I38" s="390"/>
      <c r="J38" s="390"/>
      <c r="K38" s="390">
        <v>0</v>
      </c>
      <c r="L38" s="390"/>
      <c r="M38" s="390"/>
      <c r="N38" s="390">
        <v>0</v>
      </c>
      <c r="O38" s="390"/>
      <c r="P38" s="390"/>
      <c r="Q38" s="390">
        <v>0</v>
      </c>
      <c r="R38" s="390"/>
      <c r="S38" s="390"/>
      <c r="T38" s="390">
        <v>0</v>
      </c>
      <c r="U38" s="390"/>
      <c r="V38" s="390"/>
      <c r="W38" s="390">
        <v>0</v>
      </c>
      <c r="X38" s="390"/>
      <c r="Y38" s="390"/>
      <c r="Z38" s="390">
        <v>0</v>
      </c>
      <c r="AA38" s="390"/>
      <c r="AB38" s="390"/>
      <c r="AC38" s="390">
        <v>0</v>
      </c>
      <c r="AD38" s="366">
        <f>H38+K38+N38+Q38+T38+W38+Z38+AC38</f>
        <v>0</v>
      </c>
    </row>
    <row r="39" spans="1:31" s="333" customFormat="1">
      <c r="A39" s="330"/>
      <c r="F39" s="333" t="s">
        <v>151</v>
      </c>
      <c r="H39" s="390">
        <v>0</v>
      </c>
      <c r="I39" s="390"/>
      <c r="J39" s="390"/>
      <c r="K39" s="390">
        <v>0</v>
      </c>
      <c r="L39" s="390"/>
      <c r="M39" s="390"/>
      <c r="N39" s="390">
        <v>0</v>
      </c>
      <c r="O39" s="390"/>
      <c r="P39" s="390"/>
      <c r="Q39" s="390">
        <v>0</v>
      </c>
      <c r="R39" s="390"/>
      <c r="S39" s="390"/>
      <c r="T39" s="390">
        <v>0</v>
      </c>
      <c r="U39" s="390"/>
      <c r="V39" s="390"/>
      <c r="W39" s="390">
        <v>0</v>
      </c>
      <c r="X39" s="390"/>
      <c r="Y39" s="390"/>
      <c r="Z39" s="390">
        <v>0</v>
      </c>
      <c r="AA39" s="390"/>
      <c r="AB39" s="390"/>
      <c r="AC39" s="390">
        <v>0</v>
      </c>
      <c r="AD39" s="366">
        <f t="shared" si="25"/>
        <v>0</v>
      </c>
    </row>
    <row r="40" spans="1:31" s="333" customFormat="1">
      <c r="A40" s="330"/>
      <c r="F40" s="333" t="s">
        <v>207</v>
      </c>
      <c r="H40" s="390">
        <v>0</v>
      </c>
      <c r="I40" s="390"/>
      <c r="J40" s="390"/>
      <c r="K40" s="390">
        <v>0</v>
      </c>
      <c r="L40" s="390"/>
      <c r="M40" s="390"/>
      <c r="N40" s="390">
        <v>0</v>
      </c>
      <c r="O40" s="390"/>
      <c r="P40" s="390"/>
      <c r="Q40" s="390">
        <v>0</v>
      </c>
      <c r="R40" s="390"/>
      <c r="S40" s="390"/>
      <c r="T40" s="390">
        <v>0</v>
      </c>
      <c r="U40" s="390"/>
      <c r="V40" s="390"/>
      <c r="W40" s="390">
        <v>0</v>
      </c>
      <c r="X40" s="390"/>
      <c r="Y40" s="390"/>
      <c r="Z40" s="390">
        <v>0</v>
      </c>
      <c r="AA40" s="390"/>
      <c r="AB40" s="390"/>
      <c r="AC40" s="390">
        <v>0</v>
      </c>
      <c r="AD40" s="366">
        <f>H40+K40+N40+Q40+T40+W40+Z40+AC40</f>
        <v>0</v>
      </c>
    </row>
    <row r="41" spans="1:31" s="333" customFormat="1" hidden="1" outlineLevel="1">
      <c r="A41" s="330"/>
      <c r="H41" s="390">
        <v>0</v>
      </c>
      <c r="I41" s="390"/>
      <c r="J41" s="390"/>
      <c r="K41" s="390">
        <v>0</v>
      </c>
      <c r="L41" s="390"/>
      <c r="M41" s="390"/>
      <c r="N41" s="390">
        <v>0</v>
      </c>
      <c r="O41" s="390"/>
      <c r="P41" s="390"/>
      <c r="Q41" s="390">
        <v>0</v>
      </c>
      <c r="R41" s="390"/>
      <c r="S41" s="390"/>
      <c r="T41" s="390">
        <v>0</v>
      </c>
      <c r="U41" s="390"/>
      <c r="V41" s="390"/>
      <c r="W41" s="390">
        <v>0</v>
      </c>
      <c r="X41" s="390"/>
      <c r="Y41" s="390"/>
      <c r="Z41" s="390">
        <v>0</v>
      </c>
      <c r="AA41" s="390"/>
      <c r="AB41" s="390"/>
      <c r="AC41" s="390">
        <v>0</v>
      </c>
      <c r="AD41" s="366">
        <f t="shared" si="25"/>
        <v>0</v>
      </c>
    </row>
    <row r="42" spans="1:31" s="333" customFormat="1" hidden="1" outlineLevel="1">
      <c r="A42" s="330"/>
      <c r="H42" s="390">
        <v>0</v>
      </c>
      <c r="I42" s="390"/>
      <c r="J42" s="390"/>
      <c r="K42" s="390">
        <v>0</v>
      </c>
      <c r="L42" s="390"/>
      <c r="M42" s="390"/>
      <c r="N42" s="390">
        <v>0</v>
      </c>
      <c r="O42" s="390"/>
      <c r="P42" s="390"/>
      <c r="Q42" s="390">
        <v>0</v>
      </c>
      <c r="R42" s="390"/>
      <c r="S42" s="390"/>
      <c r="T42" s="390">
        <v>0</v>
      </c>
      <c r="U42" s="390"/>
      <c r="V42" s="390"/>
      <c r="W42" s="390">
        <v>0</v>
      </c>
      <c r="X42" s="390"/>
      <c r="Y42" s="390"/>
      <c r="Z42" s="390">
        <v>0</v>
      </c>
      <c r="AA42" s="390"/>
      <c r="AB42" s="390"/>
      <c r="AC42" s="390">
        <v>0</v>
      </c>
      <c r="AD42" s="366">
        <f t="shared" si="25"/>
        <v>0</v>
      </c>
    </row>
    <row r="43" spans="1:31" s="333" customFormat="1" hidden="1" outlineLevel="1">
      <c r="H43" s="390">
        <v>0</v>
      </c>
      <c r="I43" s="390"/>
      <c r="J43" s="390"/>
      <c r="K43" s="390">
        <v>0</v>
      </c>
      <c r="L43" s="390"/>
      <c r="M43" s="390"/>
      <c r="N43" s="390">
        <v>0</v>
      </c>
      <c r="O43" s="390"/>
      <c r="P43" s="390"/>
      <c r="Q43" s="390">
        <v>0</v>
      </c>
      <c r="R43" s="390"/>
      <c r="S43" s="390"/>
      <c r="T43" s="390">
        <v>0</v>
      </c>
      <c r="U43" s="390"/>
      <c r="V43" s="390"/>
      <c r="W43" s="390">
        <v>0</v>
      </c>
      <c r="X43" s="390"/>
      <c r="Y43" s="390"/>
      <c r="Z43" s="390">
        <v>0</v>
      </c>
      <c r="AA43" s="390"/>
      <c r="AB43" s="390"/>
      <c r="AC43" s="390">
        <v>0</v>
      </c>
      <c r="AD43" s="366">
        <f t="shared" si="25"/>
        <v>0</v>
      </c>
    </row>
    <row r="44" spans="1:31" s="333" customFormat="1" hidden="1" outlineLevel="1">
      <c r="A44" s="330"/>
      <c r="C44" s="391"/>
      <c r="H44" s="390">
        <v>0</v>
      </c>
      <c r="I44" s="390"/>
      <c r="J44" s="390"/>
      <c r="K44" s="390">
        <v>0</v>
      </c>
      <c r="L44" s="390"/>
      <c r="M44" s="390"/>
      <c r="N44" s="390">
        <v>0</v>
      </c>
      <c r="O44" s="390"/>
      <c r="P44" s="390"/>
      <c r="Q44" s="390">
        <v>0</v>
      </c>
      <c r="R44" s="390"/>
      <c r="S44" s="390"/>
      <c r="T44" s="390">
        <v>0</v>
      </c>
      <c r="U44" s="390"/>
      <c r="V44" s="390"/>
      <c r="W44" s="390">
        <v>0</v>
      </c>
      <c r="X44" s="390"/>
      <c r="Y44" s="390"/>
      <c r="Z44" s="390">
        <v>0</v>
      </c>
      <c r="AA44" s="390"/>
      <c r="AB44" s="390"/>
      <c r="AC44" s="390">
        <v>0</v>
      </c>
      <c r="AD44" s="366">
        <f t="shared" si="25"/>
        <v>0</v>
      </c>
      <c r="AE44" s="380"/>
    </row>
    <row r="45" spans="1:31" s="333" customFormat="1" hidden="1" outlineLevel="1">
      <c r="A45" s="330"/>
      <c r="C45" s="391"/>
      <c r="H45" s="392">
        <v>0</v>
      </c>
      <c r="I45" s="392"/>
      <c r="J45" s="392"/>
      <c r="K45" s="392">
        <v>0</v>
      </c>
      <c r="L45" s="392"/>
      <c r="M45" s="392"/>
      <c r="N45" s="392">
        <v>0</v>
      </c>
      <c r="O45" s="392"/>
      <c r="P45" s="392"/>
      <c r="Q45" s="392">
        <v>0</v>
      </c>
      <c r="R45" s="392"/>
      <c r="S45" s="392"/>
      <c r="T45" s="392">
        <v>0</v>
      </c>
      <c r="U45" s="392"/>
      <c r="V45" s="392"/>
      <c r="W45" s="392">
        <v>0</v>
      </c>
      <c r="X45" s="392"/>
      <c r="Y45" s="392"/>
      <c r="Z45" s="392">
        <v>0</v>
      </c>
      <c r="AA45" s="392"/>
      <c r="AB45" s="392"/>
      <c r="AC45" s="392">
        <v>0</v>
      </c>
      <c r="AD45" s="366">
        <f t="shared" si="25"/>
        <v>0</v>
      </c>
    </row>
    <row r="46" spans="1:31" s="333" customFormat="1" collapsed="1">
      <c r="A46" s="330"/>
      <c r="B46" s="391"/>
      <c r="F46" s="393" t="s">
        <v>16</v>
      </c>
      <c r="G46" s="385"/>
      <c r="H46" s="394">
        <f>SUM(H36:H45)</f>
        <v>0</v>
      </c>
      <c r="I46" s="394"/>
      <c r="J46" s="395"/>
      <c r="K46" s="394">
        <f>SUM(K36:K45)</f>
        <v>0</v>
      </c>
      <c r="L46" s="394"/>
      <c r="M46" s="395"/>
      <c r="N46" s="394">
        <f>SUM(N36:N45)</f>
        <v>0</v>
      </c>
      <c r="O46" s="394"/>
      <c r="P46" s="395"/>
      <c r="Q46" s="394">
        <f>SUM(Q36:Q45)</f>
        <v>0</v>
      </c>
      <c r="R46" s="394"/>
      <c r="S46" s="395"/>
      <c r="T46" s="394">
        <f>SUM(T36:T45)</f>
        <v>0</v>
      </c>
      <c r="U46" s="394"/>
      <c r="V46" s="395"/>
      <c r="W46" s="394">
        <f>SUM(W36:W45)</f>
        <v>0</v>
      </c>
      <c r="X46" s="394"/>
      <c r="Y46" s="395"/>
      <c r="Z46" s="394">
        <f>SUM(Z36:Z45)</f>
        <v>0</v>
      </c>
      <c r="AA46" s="394"/>
      <c r="AB46" s="395"/>
      <c r="AC46" s="394">
        <f>SUM(AC36:AC45)</f>
        <v>0</v>
      </c>
      <c r="AD46" s="366">
        <f t="shared" si="25"/>
        <v>0</v>
      </c>
    </row>
    <row r="47" spans="1:31" s="333" customFormat="1">
      <c r="A47" s="330"/>
      <c r="B47" s="391"/>
      <c r="H47" s="360"/>
      <c r="I47" s="360"/>
      <c r="J47" s="360"/>
      <c r="K47" s="360"/>
      <c r="L47" s="360"/>
      <c r="M47" s="360"/>
      <c r="N47" s="360"/>
      <c r="O47" s="360"/>
      <c r="P47" s="360"/>
      <c r="Q47" s="360"/>
      <c r="R47" s="360"/>
      <c r="S47" s="360"/>
      <c r="T47" s="360"/>
      <c r="U47" s="360"/>
      <c r="V47" s="360"/>
      <c r="W47" s="360"/>
      <c r="X47" s="360"/>
      <c r="Y47" s="360"/>
      <c r="Z47" s="360"/>
      <c r="AA47" s="360"/>
      <c r="AB47" s="360"/>
      <c r="AC47" s="360"/>
      <c r="AD47" s="366"/>
    </row>
    <row r="48" spans="1:31" s="333" customFormat="1">
      <c r="A48" s="396" t="s">
        <v>217</v>
      </c>
      <c r="F48" s="397" t="s">
        <v>41</v>
      </c>
      <c r="H48" s="398">
        <v>0</v>
      </c>
      <c r="I48" s="398"/>
      <c r="J48" s="360"/>
      <c r="K48" s="398">
        <v>0</v>
      </c>
      <c r="L48" s="398"/>
      <c r="M48" s="360"/>
      <c r="N48" s="398">
        <v>0</v>
      </c>
      <c r="O48" s="398"/>
      <c r="P48" s="360"/>
      <c r="Q48" s="398">
        <v>0</v>
      </c>
      <c r="R48" s="398"/>
      <c r="S48" s="360"/>
      <c r="T48" s="398">
        <v>0</v>
      </c>
      <c r="U48" s="398"/>
      <c r="V48" s="360"/>
      <c r="W48" s="398">
        <v>0</v>
      </c>
      <c r="X48" s="398"/>
      <c r="Y48" s="360"/>
      <c r="Z48" s="398">
        <v>0</v>
      </c>
      <c r="AA48" s="398"/>
      <c r="AB48" s="360"/>
      <c r="AC48" s="398">
        <v>0</v>
      </c>
      <c r="AD48" s="366">
        <f>H48+K48+N48+Q48+T48+W48+Z48+AC48</f>
        <v>0</v>
      </c>
    </row>
    <row r="49" spans="1:30" s="333" customFormat="1">
      <c r="A49" s="330"/>
      <c r="C49" s="391"/>
      <c r="F49" s="397" t="s">
        <v>94</v>
      </c>
      <c r="G49" s="380"/>
      <c r="H49" s="442">
        <f>'Effort and OPS Salary'!L20*'Effort and OPS Salary'!K16*'Effort and OPS Salary'!J16</f>
        <v>0</v>
      </c>
      <c r="I49" s="400"/>
      <c r="J49" s="400"/>
      <c r="K49" s="442">
        <f>'Effort and OPS Salary'!L21*'Effort and OPS Salary'!M16*'Effort and OPS Salary'!L16</f>
        <v>0</v>
      </c>
      <c r="L49" s="400"/>
      <c r="M49" s="400"/>
      <c r="N49" s="442">
        <f>'Effort and OPS Salary'!L22*'Effort and OPS Salary'!O16*'Effort and OPS Salary'!N16</f>
        <v>0</v>
      </c>
      <c r="O49" s="400"/>
      <c r="P49" s="400"/>
      <c r="Q49" s="442">
        <f>'Effort and OPS Salary'!L23*'Effort and OPS Salary'!Q16*'Effort and OPS Salary'!P16</f>
        <v>0</v>
      </c>
      <c r="R49" s="400"/>
      <c r="S49" s="400"/>
      <c r="T49" s="442">
        <f>'Effort and OPS Salary'!L24*'Effort and OPS Salary'!S16*'Effort and OPS Salary'!R16</f>
        <v>0</v>
      </c>
      <c r="U49" s="400"/>
      <c r="V49" s="400"/>
      <c r="W49" s="443">
        <v>0</v>
      </c>
      <c r="X49" s="400"/>
      <c r="Y49" s="400"/>
      <c r="Z49" s="443">
        <v>0</v>
      </c>
      <c r="AA49" s="400"/>
      <c r="AB49" s="400"/>
      <c r="AC49" s="443">
        <v>0</v>
      </c>
      <c r="AD49" s="366">
        <f t="shared" si="25"/>
        <v>0</v>
      </c>
    </row>
    <row r="50" spans="1:30" s="333" customFormat="1">
      <c r="C50" s="391"/>
      <c r="F50" s="397" t="s">
        <v>220</v>
      </c>
      <c r="H50" s="399">
        <v>0</v>
      </c>
      <c r="I50" s="400"/>
      <c r="J50" s="400"/>
      <c r="K50" s="399">
        <v>0</v>
      </c>
      <c r="L50" s="400"/>
      <c r="M50" s="400"/>
      <c r="N50" s="399">
        <v>0</v>
      </c>
      <c r="O50" s="400"/>
      <c r="P50" s="400"/>
      <c r="Q50" s="399">
        <v>0</v>
      </c>
      <c r="R50" s="400"/>
      <c r="S50" s="400"/>
      <c r="T50" s="399">
        <v>0</v>
      </c>
      <c r="U50" s="400"/>
      <c r="V50" s="400"/>
      <c r="W50" s="398">
        <v>0</v>
      </c>
      <c r="X50" s="400"/>
      <c r="Y50" s="400"/>
      <c r="Z50" s="398">
        <v>0</v>
      </c>
      <c r="AA50" s="400"/>
      <c r="AB50" s="400"/>
      <c r="AC50" s="398">
        <v>0</v>
      </c>
      <c r="AD50" s="366">
        <f>H50+K50+N50+Q50+T50+W50+Z50+AC50</f>
        <v>0</v>
      </c>
    </row>
    <row r="51" spans="1:30" s="333" customFormat="1">
      <c r="C51" s="391"/>
      <c r="F51" s="431"/>
      <c r="H51" s="401">
        <v>0</v>
      </c>
      <c r="I51" s="402"/>
      <c r="J51" s="402"/>
      <c r="K51" s="401">
        <v>0</v>
      </c>
      <c r="L51" s="402"/>
      <c r="M51" s="402"/>
      <c r="N51" s="401">
        <v>0</v>
      </c>
      <c r="O51" s="402"/>
      <c r="P51" s="402"/>
      <c r="Q51" s="401">
        <v>0</v>
      </c>
      <c r="R51" s="402"/>
      <c r="S51" s="402"/>
      <c r="T51" s="401">
        <v>0</v>
      </c>
      <c r="U51" s="402"/>
      <c r="V51" s="402"/>
      <c r="W51" s="403">
        <v>0</v>
      </c>
      <c r="X51" s="402"/>
      <c r="Y51" s="402"/>
      <c r="Z51" s="403">
        <v>0</v>
      </c>
      <c r="AA51" s="402"/>
      <c r="AB51" s="402"/>
      <c r="AC51" s="403">
        <v>0</v>
      </c>
      <c r="AD51" s="366">
        <f t="shared" si="25"/>
        <v>0</v>
      </c>
    </row>
    <row r="52" spans="1:30" s="333" customFormat="1">
      <c r="A52" s="330"/>
      <c r="F52" s="393" t="s">
        <v>17</v>
      </c>
      <c r="G52" s="404"/>
      <c r="H52" s="405">
        <f>SUM(H48:H50)</f>
        <v>0</v>
      </c>
      <c r="I52" s="406"/>
      <c r="J52" s="404"/>
      <c r="K52" s="405">
        <f>SUM(K48:K50)</f>
        <v>0</v>
      </c>
      <c r="L52" s="406"/>
      <c r="M52" s="404"/>
      <c r="N52" s="405">
        <f>SUM(N48:N50)</f>
        <v>0</v>
      </c>
      <c r="O52" s="406"/>
      <c r="P52" s="404"/>
      <c r="Q52" s="405">
        <f>SUM(Q48:Q50)</f>
        <v>0</v>
      </c>
      <c r="R52" s="406"/>
      <c r="S52" s="404"/>
      <c r="T52" s="405">
        <f>SUM(T48:T50)</f>
        <v>0</v>
      </c>
      <c r="U52" s="406"/>
      <c r="V52" s="404"/>
      <c r="W52" s="405">
        <f>SUM(W48:W51)</f>
        <v>0</v>
      </c>
      <c r="X52" s="406"/>
      <c r="Y52" s="404"/>
      <c r="Z52" s="405">
        <f>SUM(Z48:Z51)</f>
        <v>0</v>
      </c>
      <c r="AA52" s="406"/>
      <c r="AB52" s="404"/>
      <c r="AC52" s="405">
        <f>SUM(AC48:AC51)</f>
        <v>0</v>
      </c>
      <c r="AD52" s="366">
        <f t="shared" si="25"/>
        <v>0</v>
      </c>
    </row>
    <row r="53" spans="1:30" s="333" customFormat="1">
      <c r="A53" s="330"/>
      <c r="AD53" s="366"/>
    </row>
    <row r="54" spans="1:30" s="333" customFormat="1">
      <c r="A54" s="385" t="s">
        <v>33</v>
      </c>
      <c r="B54" s="404"/>
      <c r="C54" s="404"/>
      <c r="D54" s="404"/>
      <c r="E54" s="404"/>
      <c r="F54" s="393" t="s">
        <v>34</v>
      </c>
      <c r="G54" s="385"/>
      <c r="H54" s="405">
        <f>H33+H46+H52</f>
        <v>0</v>
      </c>
      <c r="I54" s="406"/>
      <c r="J54" s="385"/>
      <c r="K54" s="405">
        <f>K33+K46+K52</f>
        <v>0</v>
      </c>
      <c r="L54" s="406"/>
      <c r="M54" s="385"/>
      <c r="N54" s="405">
        <f>N33+N46+N52</f>
        <v>0</v>
      </c>
      <c r="O54" s="406"/>
      <c r="P54" s="385"/>
      <c r="Q54" s="405">
        <f>Q33+Q46+Q52</f>
        <v>0</v>
      </c>
      <c r="R54" s="406"/>
      <c r="S54" s="385"/>
      <c r="T54" s="405">
        <f>T33+T46+T52</f>
        <v>0</v>
      </c>
      <c r="U54" s="406"/>
      <c r="V54" s="385"/>
      <c r="W54" s="405">
        <f>W33+W46+W52</f>
        <v>0</v>
      </c>
      <c r="X54" s="406"/>
      <c r="Y54" s="385"/>
      <c r="Z54" s="405">
        <f>Z33+Z46+Z52</f>
        <v>0</v>
      </c>
      <c r="AA54" s="406"/>
      <c r="AB54" s="385"/>
      <c r="AC54" s="405">
        <f>AC33+AC46+AC52</f>
        <v>0</v>
      </c>
      <c r="AD54" s="366">
        <f t="shared" si="25"/>
        <v>0</v>
      </c>
    </row>
    <row r="55" spans="1:30" s="333" customFormat="1">
      <c r="A55" s="352"/>
      <c r="B55" s="407"/>
      <c r="C55" s="407"/>
      <c r="D55" s="407"/>
      <c r="E55" s="407"/>
      <c r="F55" s="408"/>
      <c r="G55" s="352"/>
      <c r="H55" s="334"/>
      <c r="I55" s="334"/>
      <c r="J55" s="352"/>
      <c r="K55" s="334"/>
      <c r="L55" s="334"/>
      <c r="M55" s="352"/>
      <c r="N55" s="334"/>
      <c r="O55" s="334"/>
      <c r="P55" s="352"/>
      <c r="Q55" s="334"/>
      <c r="R55" s="334"/>
      <c r="S55" s="352"/>
      <c r="T55" s="334"/>
      <c r="U55" s="334"/>
      <c r="V55" s="352"/>
      <c r="W55" s="334"/>
      <c r="X55" s="334"/>
      <c r="Y55" s="352"/>
      <c r="Z55" s="334"/>
      <c r="AA55" s="334"/>
      <c r="AB55" s="352"/>
      <c r="AC55" s="334"/>
      <c r="AD55" s="366"/>
    </row>
    <row r="56" spans="1:30" s="333" customFormat="1">
      <c r="A56" s="357" t="s">
        <v>85</v>
      </c>
      <c r="B56" s="409"/>
      <c r="C56" s="409"/>
      <c r="D56" s="409"/>
      <c r="E56" s="409"/>
      <c r="F56" s="410" t="s">
        <v>202</v>
      </c>
      <c r="G56" s="409"/>
      <c r="H56" s="370"/>
      <c r="I56" s="411"/>
      <c r="J56" s="411"/>
      <c r="K56" s="370">
        <v>0</v>
      </c>
      <c r="L56" s="411"/>
      <c r="M56" s="411"/>
      <c r="N56" s="370">
        <v>0</v>
      </c>
      <c r="O56" s="411"/>
      <c r="P56" s="411"/>
      <c r="Q56" s="370">
        <v>0</v>
      </c>
      <c r="R56" s="411"/>
      <c r="S56" s="411"/>
      <c r="T56" s="370">
        <v>0</v>
      </c>
      <c r="U56" s="411"/>
      <c r="V56" s="411"/>
      <c r="W56" s="370">
        <v>0</v>
      </c>
      <c r="X56" s="411"/>
      <c r="Y56" s="411"/>
      <c r="Z56" s="370">
        <v>0</v>
      </c>
      <c r="AA56" s="411"/>
      <c r="AB56" s="411"/>
      <c r="AC56" s="370">
        <v>0</v>
      </c>
      <c r="AD56" s="366">
        <f t="shared" si="25"/>
        <v>0</v>
      </c>
    </row>
    <row r="57" spans="1:30" s="333" customFormat="1">
      <c r="A57" s="352"/>
      <c r="B57" s="407"/>
      <c r="C57" s="407"/>
      <c r="D57" s="407"/>
      <c r="E57" s="407"/>
      <c r="F57" s="408"/>
      <c r="G57" s="352"/>
      <c r="H57" s="334"/>
      <c r="I57" s="334"/>
      <c r="J57" s="352"/>
      <c r="K57" s="334"/>
      <c r="L57" s="334"/>
      <c r="M57" s="352"/>
      <c r="N57" s="334"/>
      <c r="O57" s="334"/>
      <c r="P57" s="352"/>
      <c r="Q57" s="334"/>
      <c r="R57" s="334"/>
      <c r="S57" s="352"/>
      <c r="T57" s="334"/>
      <c r="U57" s="334"/>
      <c r="V57" s="352"/>
      <c r="W57" s="334"/>
      <c r="X57" s="334"/>
      <c r="Y57" s="352"/>
      <c r="Z57" s="334"/>
      <c r="AA57" s="334"/>
      <c r="AB57" s="352"/>
      <c r="AC57" s="334"/>
      <c r="AD57" s="366"/>
    </row>
    <row r="58" spans="1:30" s="333" customFormat="1">
      <c r="A58" s="412" t="s">
        <v>86</v>
      </c>
      <c r="B58" s="413"/>
      <c r="C58" s="413"/>
      <c r="D58" s="413"/>
      <c r="E58" s="413"/>
      <c r="F58" s="414" t="s">
        <v>203</v>
      </c>
      <c r="G58" s="413"/>
      <c r="H58" s="415">
        <f>H56-H54</f>
        <v>0</v>
      </c>
      <c r="I58" s="413"/>
      <c r="J58" s="413"/>
      <c r="K58" s="415">
        <f>K56-K54</f>
        <v>0</v>
      </c>
      <c r="L58" s="413"/>
      <c r="M58" s="413"/>
      <c r="N58" s="416">
        <f>N56-N54</f>
        <v>0</v>
      </c>
      <c r="O58" s="413"/>
      <c r="P58" s="413"/>
      <c r="Q58" s="416">
        <f>Q56-Q54</f>
        <v>0</v>
      </c>
      <c r="R58" s="413"/>
      <c r="S58" s="413"/>
      <c r="T58" s="416">
        <f>T56-T54</f>
        <v>0</v>
      </c>
      <c r="U58" s="413"/>
      <c r="V58" s="413"/>
      <c r="W58" s="416">
        <f>W56-W54</f>
        <v>0</v>
      </c>
      <c r="X58" s="413"/>
      <c r="Y58" s="413"/>
      <c r="Z58" s="416">
        <f>Z56-Z54</f>
        <v>0</v>
      </c>
      <c r="AA58" s="413"/>
      <c r="AB58" s="413"/>
      <c r="AC58" s="416">
        <f>AC56-AC54</f>
        <v>0</v>
      </c>
      <c r="AD58" s="366">
        <f t="shared" si="25"/>
        <v>0</v>
      </c>
    </row>
    <row r="59" spans="1:30" s="333" customFormat="1">
      <c r="A59" s="352"/>
      <c r="B59" s="407"/>
      <c r="C59" s="407"/>
      <c r="D59" s="407"/>
      <c r="E59" s="407"/>
      <c r="F59" s="408"/>
      <c r="G59" s="352"/>
      <c r="H59" s="334"/>
      <c r="I59" s="334"/>
      <c r="J59" s="352"/>
      <c r="K59" s="334"/>
      <c r="L59" s="334"/>
      <c r="M59" s="352"/>
      <c r="N59" s="334"/>
      <c r="O59" s="334"/>
      <c r="P59" s="352"/>
      <c r="Q59" s="334"/>
      <c r="R59" s="334"/>
      <c r="S59" s="352"/>
      <c r="T59" s="334"/>
      <c r="U59" s="334"/>
      <c r="V59" s="352"/>
      <c r="W59" s="334"/>
      <c r="X59" s="334"/>
      <c r="Y59" s="352"/>
      <c r="Z59" s="334"/>
      <c r="AA59" s="334"/>
      <c r="AB59" s="352"/>
      <c r="AC59" s="334"/>
      <c r="AD59" s="366"/>
    </row>
    <row r="60" spans="1:30" s="333" customFormat="1">
      <c r="G60" s="330"/>
      <c r="H60" s="417"/>
      <c r="I60" s="417"/>
      <c r="J60" s="330"/>
      <c r="K60" s="417"/>
      <c r="L60" s="417"/>
      <c r="M60" s="330"/>
      <c r="N60" s="417"/>
      <c r="O60" s="417"/>
      <c r="P60" s="330"/>
      <c r="Q60" s="417"/>
      <c r="R60" s="417"/>
      <c r="S60" s="330"/>
      <c r="T60" s="417"/>
      <c r="U60" s="417"/>
      <c r="V60" s="330"/>
      <c r="W60" s="417"/>
      <c r="X60" s="417"/>
      <c r="Y60" s="330"/>
      <c r="Z60" s="417"/>
      <c r="AA60" s="417"/>
      <c r="AB60" s="330"/>
      <c r="AC60" s="417"/>
      <c r="AD60" s="366"/>
    </row>
    <row r="61" spans="1:30" s="333" customFormat="1">
      <c r="A61" s="418" t="s">
        <v>35</v>
      </c>
      <c r="B61" s="419"/>
      <c r="C61" s="419"/>
      <c r="D61" s="419"/>
      <c r="E61" s="419"/>
      <c r="F61" s="420" t="s">
        <v>36</v>
      </c>
      <c r="G61" s="418"/>
      <c r="H61" s="421">
        <f>H54-H52</f>
        <v>0</v>
      </c>
      <c r="I61" s="328"/>
      <c r="J61" s="418"/>
      <c r="K61" s="422">
        <f>K54-K52</f>
        <v>0</v>
      </c>
      <c r="L61" s="328"/>
      <c r="M61" s="418"/>
      <c r="N61" s="422">
        <f>N54-N52</f>
        <v>0</v>
      </c>
      <c r="O61" s="328"/>
      <c r="P61" s="418"/>
      <c r="Q61" s="422">
        <f>Q54-Q52</f>
        <v>0</v>
      </c>
      <c r="R61" s="328"/>
      <c r="S61" s="418"/>
      <c r="T61" s="422">
        <f>T54-T52</f>
        <v>0</v>
      </c>
      <c r="U61" s="328"/>
      <c r="V61" s="418"/>
      <c r="W61" s="422">
        <f>W54-W52</f>
        <v>0</v>
      </c>
      <c r="X61" s="328"/>
      <c r="Y61" s="418"/>
      <c r="Z61" s="422">
        <f>Z54-Z52</f>
        <v>0</v>
      </c>
      <c r="AA61" s="328"/>
      <c r="AB61" s="418"/>
      <c r="AC61" s="422">
        <f>AC54-AC52</f>
        <v>0</v>
      </c>
      <c r="AD61" s="366">
        <f t="shared" si="25"/>
        <v>0</v>
      </c>
    </row>
    <row r="62" spans="1:30" s="333" customFormat="1">
      <c r="A62" s="330"/>
      <c r="F62" s="330"/>
      <c r="AD62" s="366"/>
    </row>
    <row r="63" spans="1:30" s="333" customFormat="1">
      <c r="E63" s="419"/>
      <c r="F63" s="423" t="s">
        <v>18</v>
      </c>
      <c r="AD63" s="366"/>
    </row>
    <row r="64" spans="1:30" s="333" customFormat="1">
      <c r="A64" s="428"/>
      <c r="F64" s="424">
        <v>0.52500000000000002</v>
      </c>
      <c r="AD64" s="366"/>
    </row>
    <row r="65" spans="1:42" s="333" customFormat="1">
      <c r="A65" s="418" t="s">
        <v>24</v>
      </c>
      <c r="B65" s="419"/>
      <c r="C65" s="419"/>
      <c r="D65" s="419"/>
      <c r="F65" s="420" t="s">
        <v>219</v>
      </c>
      <c r="G65" s="419"/>
      <c r="H65" s="422">
        <f>H61*$F64</f>
        <v>0</v>
      </c>
      <c r="I65" s="419"/>
      <c r="J65" s="419"/>
      <c r="K65" s="422">
        <f>K61*$F64</f>
        <v>0</v>
      </c>
      <c r="L65" s="419"/>
      <c r="M65" s="419"/>
      <c r="N65" s="422">
        <f>N61*$F64</f>
        <v>0</v>
      </c>
      <c r="O65" s="419"/>
      <c r="P65" s="419"/>
      <c r="Q65" s="422">
        <f>Q61*$F64</f>
        <v>0</v>
      </c>
      <c r="R65" s="419"/>
      <c r="S65" s="419"/>
      <c r="T65" s="422">
        <f>T61*$F64</f>
        <v>0</v>
      </c>
      <c r="U65" s="419"/>
      <c r="V65" s="419"/>
      <c r="W65" s="422">
        <f>W61*$F64</f>
        <v>0</v>
      </c>
      <c r="X65" s="419"/>
      <c r="Y65" s="419"/>
      <c r="Z65" s="422">
        <f>Z61*$F64</f>
        <v>0</v>
      </c>
      <c r="AA65" s="419"/>
      <c r="AB65" s="419"/>
      <c r="AC65" s="422">
        <f>AC61*$F64</f>
        <v>0</v>
      </c>
      <c r="AD65" s="366">
        <f>H65+K65+N65+Q65+T65+W65+Z65+AC65</f>
        <v>0</v>
      </c>
    </row>
    <row r="66" spans="1:42" s="333" customFormat="1">
      <c r="AD66" s="366"/>
    </row>
    <row r="67" spans="1:42" s="333" customFormat="1">
      <c r="AD67" s="366"/>
    </row>
    <row r="68" spans="1:42" s="333" customFormat="1">
      <c r="A68" s="357" t="s">
        <v>20</v>
      </c>
      <c r="B68" s="409"/>
      <c r="C68" s="409"/>
      <c r="D68" s="409"/>
      <c r="E68" s="409"/>
      <c r="F68" s="410" t="s">
        <v>22</v>
      </c>
      <c r="G68" s="409"/>
      <c r="H68" s="488">
        <f>H54+H65</f>
        <v>0</v>
      </c>
      <c r="I68" s="379"/>
      <c r="J68" s="409"/>
      <c r="K68" s="366">
        <f>K54+K65</f>
        <v>0</v>
      </c>
      <c r="L68" s="379"/>
      <c r="M68" s="409"/>
      <c r="N68" s="366">
        <f>N54+N65</f>
        <v>0</v>
      </c>
      <c r="O68" s="379"/>
      <c r="P68" s="409"/>
      <c r="Q68" s="366">
        <f>Q54+Q65</f>
        <v>0</v>
      </c>
      <c r="R68" s="379"/>
      <c r="S68" s="409"/>
      <c r="T68" s="366">
        <f>T54+T65</f>
        <v>0</v>
      </c>
      <c r="U68" s="379"/>
      <c r="V68" s="409"/>
      <c r="W68" s="366">
        <f>W54+W65</f>
        <v>0</v>
      </c>
      <c r="X68" s="379"/>
      <c r="Y68" s="409"/>
      <c r="Z68" s="366">
        <f>Z54+Z65</f>
        <v>0</v>
      </c>
      <c r="AA68" s="379"/>
      <c r="AB68" s="409"/>
      <c r="AC68" s="366">
        <f>AC54+AC65</f>
        <v>0</v>
      </c>
      <c r="AD68" s="366">
        <f t="shared" si="25"/>
        <v>0</v>
      </c>
    </row>
    <row r="69" spans="1:42" s="333" customFormat="1">
      <c r="AD69" s="407"/>
      <c r="AF69" s="425"/>
      <c r="AG69" s="425"/>
      <c r="AH69" s="425"/>
      <c r="AI69" s="425"/>
      <c r="AJ69" s="425"/>
      <c r="AK69" s="425"/>
      <c r="AL69" s="425"/>
      <c r="AM69" s="425"/>
      <c r="AN69" s="425"/>
      <c r="AO69" s="425"/>
      <c r="AP69" s="425"/>
    </row>
    <row r="70" spans="1:42" s="333" customFormat="1">
      <c r="H70" s="426"/>
      <c r="I70" s="426"/>
      <c r="J70" s="426"/>
      <c r="K70" s="426"/>
      <c r="L70" s="426"/>
      <c r="M70" s="426"/>
      <c r="N70" s="426"/>
      <c r="O70" s="426"/>
      <c r="P70" s="426"/>
      <c r="Q70" s="426"/>
      <c r="R70" s="426"/>
      <c r="S70" s="426"/>
      <c r="T70" s="426"/>
      <c r="U70" s="426"/>
      <c r="V70" s="426"/>
      <c r="W70" s="426"/>
      <c r="X70" s="426"/>
      <c r="Y70" s="426"/>
      <c r="Z70" s="426"/>
      <c r="AA70" s="426"/>
      <c r="AB70" s="426"/>
      <c r="AC70" s="426"/>
      <c r="AD70" s="480">
        <v>450000</v>
      </c>
      <c r="AF70" s="425"/>
      <c r="AG70" s="425"/>
      <c r="AH70" s="425"/>
      <c r="AI70" s="425"/>
      <c r="AJ70" s="425"/>
      <c r="AK70" s="425"/>
      <c r="AL70" s="425"/>
      <c r="AM70" s="425"/>
      <c r="AN70" s="425"/>
      <c r="AO70" s="425"/>
      <c r="AP70" s="425"/>
    </row>
    <row r="71" spans="1:42" s="333" customFormat="1">
      <c r="H71" s="426"/>
      <c r="I71" s="426"/>
      <c r="J71" s="426"/>
      <c r="K71" s="426"/>
      <c r="L71" s="426"/>
      <c r="M71" s="426"/>
      <c r="N71" s="426"/>
      <c r="O71" s="426"/>
      <c r="P71" s="426"/>
      <c r="Q71" s="426"/>
      <c r="R71" s="426"/>
      <c r="S71" s="426"/>
      <c r="T71" s="426"/>
      <c r="U71" s="426"/>
      <c r="V71" s="426"/>
      <c r="W71" s="426"/>
      <c r="X71" s="426"/>
      <c r="Y71" s="426"/>
      <c r="Z71" s="426"/>
      <c r="AA71" s="426"/>
      <c r="AB71" s="426"/>
      <c r="AC71" s="426"/>
      <c r="AD71" s="480">
        <f>AD70-AD68</f>
        <v>450000</v>
      </c>
      <c r="AF71" s="425"/>
      <c r="AG71" s="425"/>
      <c r="AH71" s="425"/>
      <c r="AI71" s="425"/>
      <c r="AJ71" s="425"/>
      <c r="AK71" s="425"/>
      <c r="AL71" s="425"/>
      <c r="AM71" s="425"/>
      <c r="AN71" s="425"/>
      <c r="AO71" s="425"/>
      <c r="AP71" s="425"/>
    </row>
    <row r="72" spans="1:42" s="333" customFormat="1">
      <c r="A72" s="427"/>
      <c r="B72" s="427"/>
      <c r="C72" s="427"/>
      <c r="D72" s="427"/>
      <c r="E72" s="427"/>
      <c r="F72" s="427"/>
      <c r="AF72" s="425"/>
      <c r="AG72" s="425"/>
      <c r="AH72" s="425"/>
      <c r="AI72" s="425"/>
      <c r="AJ72" s="425"/>
      <c r="AK72" s="425"/>
      <c r="AL72" s="425"/>
      <c r="AM72" s="425"/>
      <c r="AN72" s="425"/>
      <c r="AO72" s="425"/>
      <c r="AP72" s="425"/>
    </row>
    <row r="73" spans="1:42" s="333" customFormat="1">
      <c r="A73" s="380"/>
      <c r="B73" s="428"/>
      <c r="C73" s="428"/>
      <c r="D73" s="428"/>
      <c r="E73" s="428"/>
      <c r="F73" s="428"/>
      <c r="AE73" s="429"/>
      <c r="AF73" s="425"/>
      <c r="AG73" s="425"/>
      <c r="AH73" s="425"/>
      <c r="AI73" s="425"/>
      <c r="AJ73" s="425"/>
      <c r="AK73" s="425"/>
      <c r="AL73" s="425"/>
      <c r="AM73" s="425"/>
      <c r="AN73" s="425"/>
      <c r="AO73" s="425"/>
      <c r="AP73" s="425"/>
    </row>
    <row r="74" spans="1:42">
      <c r="A74" s="380"/>
      <c r="B74" s="430"/>
      <c r="C74" s="430"/>
      <c r="D74" s="430"/>
      <c r="E74" s="430"/>
      <c r="F74" s="430"/>
      <c r="G74" s="333"/>
      <c r="H74" s="333"/>
      <c r="I74" s="333"/>
      <c r="J74" s="333"/>
      <c r="K74" s="333"/>
      <c r="L74" s="333"/>
      <c r="M74" s="333"/>
      <c r="N74" s="333"/>
      <c r="O74" s="333"/>
      <c r="P74" s="333"/>
      <c r="Q74" s="333"/>
      <c r="R74" s="333"/>
      <c r="S74" s="333"/>
      <c r="T74" s="333"/>
      <c r="U74" s="333"/>
      <c r="V74" s="333"/>
      <c r="W74" s="333"/>
      <c r="X74" s="333"/>
      <c r="Y74" s="333"/>
      <c r="Z74" s="333"/>
      <c r="AA74" s="333"/>
      <c r="AB74" s="333"/>
      <c r="AC74" s="333"/>
      <c r="AD74" s="333"/>
      <c r="AE74" s="429"/>
    </row>
    <row r="75" spans="1:42">
      <c r="A75" s="380"/>
      <c r="B75" s="430"/>
      <c r="C75" s="430"/>
      <c r="D75" s="430"/>
      <c r="E75" s="430"/>
      <c r="F75" s="430"/>
      <c r="G75" s="333"/>
      <c r="H75" s="333"/>
      <c r="I75" s="333"/>
      <c r="J75" s="333"/>
      <c r="K75" s="333"/>
      <c r="L75" s="333"/>
      <c r="M75" s="333"/>
      <c r="N75" s="333"/>
      <c r="O75" s="333"/>
      <c r="P75" s="333"/>
      <c r="Q75" s="333"/>
      <c r="R75" s="333"/>
      <c r="S75" s="333"/>
      <c r="T75" s="333"/>
      <c r="U75" s="333"/>
      <c r="V75" s="333"/>
      <c r="W75" s="333"/>
      <c r="X75" s="333"/>
      <c r="Y75" s="333"/>
      <c r="Z75" s="333"/>
      <c r="AA75" s="333"/>
      <c r="AB75" s="333"/>
      <c r="AC75" s="333"/>
      <c r="AD75" s="333"/>
      <c r="AE75" s="429"/>
    </row>
    <row r="76" spans="1:42">
      <c r="A76" s="380"/>
      <c r="B76" s="430"/>
      <c r="C76" s="430"/>
      <c r="D76" s="430"/>
      <c r="E76" s="430"/>
      <c r="F76" s="430"/>
      <c r="G76" s="333"/>
      <c r="H76" s="333"/>
      <c r="I76" s="333"/>
      <c r="J76" s="333"/>
      <c r="K76" s="333"/>
      <c r="L76" s="333"/>
      <c r="M76" s="333"/>
      <c r="N76" s="333"/>
      <c r="O76" s="333"/>
      <c r="P76" s="333"/>
      <c r="Q76" s="333"/>
      <c r="R76" s="333"/>
      <c r="S76" s="333"/>
      <c r="T76" s="333"/>
      <c r="U76" s="333"/>
      <c r="V76" s="333"/>
      <c r="W76" s="333"/>
      <c r="X76" s="333"/>
      <c r="Y76" s="333"/>
      <c r="Z76" s="333"/>
      <c r="AA76" s="333"/>
      <c r="AB76" s="333"/>
      <c r="AC76" s="333"/>
      <c r="AD76" s="333"/>
      <c r="AE76" s="429"/>
    </row>
    <row r="77" spans="1:42">
      <c r="A77" s="380"/>
      <c r="B77" s="430"/>
      <c r="C77" s="430"/>
      <c r="D77" s="430"/>
      <c r="E77" s="430"/>
      <c r="F77" s="430"/>
      <c r="G77" s="333"/>
      <c r="H77" s="333"/>
      <c r="I77" s="333"/>
      <c r="J77" s="333"/>
      <c r="K77" s="333"/>
      <c r="L77" s="333"/>
      <c r="M77" s="333"/>
      <c r="N77" s="333"/>
      <c r="O77" s="333"/>
      <c r="P77" s="333"/>
      <c r="Q77" s="333"/>
      <c r="R77" s="333"/>
      <c r="S77" s="333"/>
      <c r="T77" s="333"/>
      <c r="U77" s="333"/>
      <c r="V77" s="333"/>
      <c r="W77" s="333"/>
      <c r="X77" s="333"/>
      <c r="Y77" s="333"/>
      <c r="Z77" s="333"/>
      <c r="AA77" s="333"/>
      <c r="AB77" s="333"/>
      <c r="AC77" s="333"/>
      <c r="AD77" s="333"/>
      <c r="AE77" s="429"/>
    </row>
    <row r="78" spans="1:42">
      <c r="A78" s="380"/>
      <c r="B78" s="430"/>
      <c r="C78" s="430"/>
      <c r="D78" s="430"/>
      <c r="E78" s="430"/>
      <c r="F78" s="430"/>
      <c r="G78" s="333"/>
      <c r="H78" s="333"/>
      <c r="I78" s="333"/>
      <c r="J78" s="333"/>
      <c r="K78" s="333"/>
      <c r="L78" s="333"/>
      <c r="M78" s="333"/>
      <c r="N78" s="333"/>
      <c r="O78" s="333"/>
      <c r="P78" s="333"/>
      <c r="Q78" s="333"/>
      <c r="R78" s="333"/>
      <c r="S78" s="333"/>
      <c r="T78" s="333"/>
      <c r="U78" s="333"/>
      <c r="V78" s="333"/>
      <c r="W78" s="333"/>
      <c r="X78" s="333"/>
      <c r="Y78" s="333"/>
      <c r="Z78" s="333"/>
      <c r="AA78" s="333"/>
      <c r="AB78" s="333"/>
      <c r="AC78" s="333"/>
      <c r="AD78" s="333"/>
      <c r="AE78" s="429"/>
    </row>
    <row r="79" spans="1:42">
      <c r="A79" s="380"/>
      <c r="B79" s="430"/>
      <c r="C79" s="430"/>
      <c r="D79" s="430"/>
      <c r="E79" s="430"/>
      <c r="F79" s="430"/>
      <c r="G79" s="333"/>
      <c r="H79" s="333"/>
      <c r="I79" s="333"/>
      <c r="J79" s="333"/>
      <c r="K79" s="333"/>
      <c r="L79" s="333"/>
      <c r="M79" s="333"/>
      <c r="N79" s="333"/>
      <c r="O79" s="333"/>
      <c r="P79" s="333"/>
      <c r="Q79" s="333"/>
      <c r="R79" s="333"/>
      <c r="S79" s="333"/>
      <c r="T79" s="333"/>
      <c r="U79" s="333"/>
      <c r="V79" s="333"/>
      <c r="W79" s="333"/>
      <c r="X79" s="333"/>
      <c r="Y79" s="333"/>
      <c r="Z79" s="333"/>
      <c r="AA79" s="333"/>
      <c r="AB79" s="333"/>
      <c r="AC79" s="333"/>
      <c r="AD79" s="333"/>
      <c r="AE79" s="429"/>
    </row>
    <row r="80" spans="1:42">
      <c r="A80" s="429"/>
      <c r="B80" s="429"/>
      <c r="C80" s="429"/>
      <c r="D80" s="429"/>
      <c r="E80" s="429"/>
      <c r="F80" s="429"/>
      <c r="G80" s="429"/>
      <c r="H80" s="429"/>
      <c r="I80" s="429"/>
      <c r="J80" s="429"/>
      <c r="K80" s="429"/>
      <c r="L80" s="429"/>
      <c r="M80" s="429"/>
      <c r="N80" s="429"/>
      <c r="O80" s="429"/>
      <c r="P80" s="429"/>
      <c r="Q80" s="429"/>
      <c r="R80" s="429"/>
      <c r="S80" s="429"/>
      <c r="T80" s="429"/>
      <c r="U80" s="429"/>
      <c r="V80" s="429"/>
      <c r="W80" s="429"/>
      <c r="X80" s="429"/>
      <c r="Y80" s="429"/>
      <c r="Z80" s="429"/>
      <c r="AA80" s="429"/>
      <c r="AB80" s="429"/>
      <c r="AC80" s="429"/>
      <c r="AD80" s="429"/>
      <c r="AE80" s="429"/>
    </row>
    <row r="81" spans="1:31">
      <c r="A81" s="429"/>
      <c r="B81" s="429"/>
      <c r="C81" s="429"/>
      <c r="D81" s="429"/>
      <c r="E81" s="429"/>
      <c r="F81" s="429"/>
      <c r="G81" s="429"/>
      <c r="H81" s="429"/>
      <c r="I81" s="429"/>
      <c r="J81" s="429"/>
      <c r="K81" s="429"/>
      <c r="L81" s="429"/>
      <c r="M81" s="429"/>
      <c r="N81" s="429"/>
      <c r="O81" s="429"/>
      <c r="P81" s="429"/>
      <c r="Q81" s="429"/>
      <c r="R81" s="429"/>
      <c r="S81" s="429"/>
      <c r="T81" s="429"/>
      <c r="U81" s="429"/>
      <c r="V81" s="429"/>
      <c r="W81" s="429"/>
      <c r="X81" s="429"/>
      <c r="Y81" s="429"/>
      <c r="Z81" s="429"/>
      <c r="AA81" s="429"/>
      <c r="AB81" s="429"/>
      <c r="AC81" s="429"/>
      <c r="AD81" s="429"/>
      <c r="AE81" s="429"/>
    </row>
    <row r="82" spans="1:31">
      <c r="A82" s="429"/>
      <c r="B82" s="429"/>
      <c r="C82" s="429"/>
      <c r="D82" s="429"/>
      <c r="E82" s="429"/>
      <c r="F82" s="429"/>
      <c r="G82" s="429"/>
      <c r="H82" s="429"/>
      <c r="I82" s="429"/>
      <c r="J82" s="429"/>
      <c r="K82" s="429"/>
      <c r="L82" s="429"/>
      <c r="M82" s="429"/>
      <c r="N82" s="429"/>
      <c r="O82" s="429"/>
      <c r="P82" s="429"/>
      <c r="Q82" s="429"/>
      <c r="R82" s="429"/>
      <c r="S82" s="429"/>
      <c r="T82" s="429"/>
      <c r="U82" s="429"/>
      <c r="V82" s="429"/>
      <c r="W82" s="429"/>
      <c r="X82" s="429"/>
      <c r="Y82" s="429"/>
      <c r="Z82" s="429"/>
      <c r="AA82" s="429"/>
      <c r="AB82" s="429"/>
      <c r="AC82" s="429"/>
      <c r="AD82" s="429"/>
      <c r="AE82" s="429"/>
    </row>
    <row r="83" spans="1:31">
      <c r="A83" s="429"/>
      <c r="B83" s="429"/>
      <c r="C83" s="429"/>
      <c r="D83" s="429"/>
      <c r="E83" s="429"/>
      <c r="F83" s="429"/>
      <c r="G83" s="429"/>
      <c r="H83" s="429"/>
      <c r="I83" s="429"/>
      <c r="J83" s="429"/>
      <c r="K83" s="429"/>
      <c r="L83" s="429"/>
      <c r="M83" s="429"/>
      <c r="N83" s="429"/>
      <c r="O83" s="429"/>
      <c r="P83" s="429"/>
      <c r="Q83" s="429"/>
      <c r="R83" s="429"/>
      <c r="S83" s="429"/>
      <c r="T83" s="429"/>
      <c r="U83" s="429"/>
      <c r="V83" s="429"/>
      <c r="W83" s="429"/>
      <c r="X83" s="429"/>
      <c r="Y83" s="429"/>
      <c r="Z83" s="429"/>
      <c r="AA83" s="429"/>
      <c r="AB83" s="429"/>
      <c r="AC83" s="429"/>
      <c r="AD83" s="429"/>
      <c r="AE83" s="429"/>
    </row>
    <row r="84" spans="1:31">
      <c r="A84" s="429"/>
      <c r="B84" s="429"/>
      <c r="C84" s="429"/>
      <c r="D84" s="429"/>
      <c r="E84" s="429"/>
      <c r="F84" s="429"/>
      <c r="G84" s="429"/>
      <c r="H84" s="429"/>
      <c r="I84" s="429"/>
      <c r="J84" s="429"/>
      <c r="K84" s="429"/>
      <c r="L84" s="429"/>
      <c r="M84" s="429"/>
      <c r="N84" s="429"/>
      <c r="O84" s="429"/>
      <c r="P84" s="429"/>
      <c r="Q84" s="429"/>
      <c r="R84" s="429"/>
      <c r="S84" s="429"/>
      <c r="T84" s="429"/>
      <c r="U84" s="429"/>
      <c r="V84" s="429"/>
      <c r="W84" s="429"/>
      <c r="X84" s="429"/>
      <c r="Y84" s="429"/>
      <c r="Z84" s="429"/>
      <c r="AA84" s="429"/>
      <c r="AB84" s="429"/>
      <c r="AC84" s="429"/>
      <c r="AD84" s="429"/>
      <c r="AE84" s="429"/>
    </row>
    <row r="85" spans="1:31">
      <c r="A85" s="429"/>
      <c r="B85" s="429"/>
      <c r="C85" s="429"/>
      <c r="D85" s="429"/>
      <c r="E85" s="429"/>
      <c r="F85" s="429"/>
      <c r="G85" s="429"/>
      <c r="H85" s="429"/>
      <c r="I85" s="429"/>
      <c r="J85" s="429"/>
      <c r="K85" s="429"/>
      <c r="L85" s="429"/>
      <c r="M85" s="429"/>
      <c r="N85" s="429"/>
      <c r="O85" s="429"/>
      <c r="P85" s="429"/>
      <c r="Q85" s="429"/>
      <c r="R85" s="429"/>
      <c r="S85" s="429"/>
      <c r="T85" s="429"/>
      <c r="U85" s="429"/>
      <c r="V85" s="429"/>
      <c r="W85" s="429"/>
      <c r="X85" s="429"/>
      <c r="Y85" s="429"/>
      <c r="Z85" s="429"/>
      <c r="AA85" s="429"/>
      <c r="AB85" s="429"/>
      <c r="AC85" s="429"/>
      <c r="AD85" s="429"/>
      <c r="AE85" s="429"/>
    </row>
    <row r="86" spans="1:31">
      <c r="A86" s="429"/>
      <c r="B86" s="429"/>
      <c r="C86" s="429"/>
      <c r="D86" s="429"/>
      <c r="E86" s="429"/>
      <c r="F86" s="429"/>
      <c r="G86" s="429"/>
      <c r="H86" s="429"/>
      <c r="I86" s="429"/>
      <c r="J86" s="429"/>
      <c r="K86" s="429"/>
      <c r="L86" s="429"/>
      <c r="M86" s="429"/>
      <c r="N86" s="429"/>
      <c r="O86" s="429"/>
      <c r="P86" s="429"/>
      <c r="Q86" s="429"/>
      <c r="R86" s="429"/>
      <c r="S86" s="429"/>
      <c r="T86" s="429"/>
      <c r="U86" s="429"/>
      <c r="V86" s="429"/>
      <c r="W86" s="429"/>
      <c r="X86" s="429"/>
      <c r="Y86" s="429"/>
      <c r="Z86" s="429"/>
      <c r="AA86" s="429"/>
      <c r="AB86" s="429"/>
      <c r="AC86" s="429"/>
      <c r="AD86" s="429"/>
      <c r="AE86" s="429"/>
    </row>
    <row r="87" spans="1:31">
      <c r="A87" s="429"/>
      <c r="B87" s="429"/>
      <c r="C87" s="429"/>
      <c r="D87" s="429"/>
      <c r="E87" s="429"/>
      <c r="F87" s="429"/>
      <c r="G87" s="429"/>
      <c r="H87" s="429"/>
      <c r="I87" s="429"/>
      <c r="J87" s="429"/>
      <c r="K87" s="429"/>
      <c r="L87" s="429"/>
      <c r="M87" s="429"/>
      <c r="N87" s="429"/>
      <c r="O87" s="429"/>
      <c r="P87" s="429"/>
      <c r="Q87" s="429"/>
      <c r="R87" s="429"/>
      <c r="S87" s="429"/>
      <c r="T87" s="429"/>
      <c r="U87" s="429"/>
      <c r="V87" s="429"/>
      <c r="W87" s="429"/>
      <c r="X87" s="429"/>
      <c r="Y87" s="429"/>
      <c r="Z87" s="429"/>
      <c r="AA87" s="429"/>
      <c r="AB87" s="429"/>
      <c r="AC87" s="429"/>
      <c r="AD87" s="429"/>
      <c r="AE87" s="429"/>
    </row>
    <row r="88" spans="1:31">
      <c r="A88" s="429"/>
      <c r="B88" s="429"/>
      <c r="C88" s="429"/>
      <c r="D88" s="429"/>
      <c r="E88" s="429"/>
      <c r="F88" s="429"/>
      <c r="G88" s="429"/>
      <c r="H88" s="429"/>
      <c r="I88" s="429"/>
      <c r="J88" s="429"/>
      <c r="K88" s="429"/>
      <c r="L88" s="429"/>
      <c r="M88" s="429"/>
      <c r="N88" s="429"/>
      <c r="O88" s="429"/>
      <c r="P88" s="429"/>
      <c r="Q88" s="429"/>
      <c r="R88" s="429"/>
      <c r="S88" s="429"/>
      <c r="T88" s="429"/>
      <c r="U88" s="429"/>
      <c r="V88" s="429"/>
      <c r="W88" s="429"/>
      <c r="X88" s="429"/>
      <c r="Y88" s="429"/>
      <c r="Z88" s="429"/>
      <c r="AA88" s="429"/>
      <c r="AB88" s="429"/>
      <c r="AC88" s="429"/>
      <c r="AD88" s="429"/>
      <c r="AE88" s="429"/>
    </row>
    <row r="89" spans="1:31">
      <c r="A89" s="429"/>
      <c r="B89" s="429"/>
      <c r="C89" s="429"/>
      <c r="D89" s="429"/>
      <c r="E89" s="429"/>
      <c r="F89" s="429"/>
      <c r="G89" s="429"/>
      <c r="H89" s="429"/>
      <c r="I89" s="429"/>
      <c r="J89" s="429"/>
      <c r="K89" s="429"/>
      <c r="L89" s="429"/>
      <c r="M89" s="429"/>
      <c r="N89" s="429"/>
      <c r="O89" s="429"/>
      <c r="P89" s="429"/>
      <c r="Q89" s="429"/>
      <c r="R89" s="429"/>
      <c r="S89" s="429"/>
      <c r="T89" s="429"/>
      <c r="U89" s="429"/>
      <c r="V89" s="429"/>
      <c r="W89" s="429"/>
      <c r="X89" s="429"/>
      <c r="Y89" s="429"/>
      <c r="Z89" s="429"/>
      <c r="AA89" s="429"/>
      <c r="AB89" s="429"/>
      <c r="AC89" s="429"/>
      <c r="AD89" s="429"/>
      <c r="AE89" s="429"/>
    </row>
    <row r="90" spans="1:31">
      <c r="A90" s="429"/>
      <c r="B90" s="429"/>
      <c r="C90" s="429"/>
      <c r="D90" s="429"/>
      <c r="E90" s="429"/>
      <c r="F90" s="429"/>
      <c r="G90" s="429"/>
      <c r="H90" s="429"/>
      <c r="I90" s="429"/>
      <c r="J90" s="429"/>
      <c r="K90" s="429"/>
      <c r="L90" s="429"/>
      <c r="M90" s="429"/>
      <c r="N90" s="429"/>
      <c r="O90" s="429"/>
      <c r="P90" s="429"/>
      <c r="Q90" s="429"/>
      <c r="R90" s="429"/>
      <c r="S90" s="429"/>
      <c r="T90" s="429"/>
      <c r="U90" s="429"/>
      <c r="V90" s="429"/>
      <c r="W90" s="429"/>
      <c r="X90" s="429"/>
      <c r="Y90" s="429"/>
      <c r="Z90" s="429"/>
      <c r="AA90" s="429"/>
      <c r="AB90" s="429"/>
      <c r="AC90" s="429"/>
      <c r="AD90" s="429"/>
      <c r="AE90" s="429"/>
    </row>
    <row r="91" spans="1:31">
      <c r="A91" s="429"/>
      <c r="B91" s="429"/>
      <c r="C91" s="429"/>
      <c r="D91" s="429"/>
      <c r="E91" s="429"/>
      <c r="F91" s="429"/>
      <c r="G91" s="429"/>
      <c r="H91" s="429"/>
      <c r="I91" s="429"/>
      <c r="J91" s="429"/>
      <c r="K91" s="429"/>
      <c r="L91" s="429"/>
      <c r="M91" s="429"/>
      <c r="N91" s="429"/>
      <c r="O91" s="429"/>
      <c r="P91" s="429"/>
      <c r="Q91" s="429"/>
      <c r="R91" s="429"/>
      <c r="S91" s="429"/>
      <c r="T91" s="429"/>
      <c r="U91" s="429"/>
      <c r="V91" s="429"/>
      <c r="W91" s="429"/>
      <c r="X91" s="429"/>
      <c r="Y91" s="429"/>
      <c r="Z91" s="429"/>
      <c r="AA91" s="429"/>
      <c r="AB91" s="429"/>
      <c r="AC91" s="429"/>
      <c r="AD91" s="429"/>
      <c r="AE91" s="429"/>
    </row>
    <row r="92" spans="1:31">
      <c r="A92" s="429"/>
      <c r="B92" s="429"/>
      <c r="C92" s="429"/>
      <c r="D92" s="429"/>
      <c r="E92" s="429"/>
      <c r="F92" s="429"/>
      <c r="G92" s="429"/>
      <c r="H92" s="429"/>
      <c r="I92" s="429"/>
      <c r="J92" s="429"/>
      <c r="K92" s="429"/>
      <c r="L92" s="429"/>
      <c r="M92" s="429"/>
      <c r="N92" s="429"/>
      <c r="O92" s="429"/>
      <c r="P92" s="429"/>
      <c r="Q92" s="429"/>
      <c r="R92" s="429"/>
      <c r="S92" s="429"/>
      <c r="T92" s="429"/>
      <c r="U92" s="429"/>
      <c r="V92" s="429"/>
      <c r="W92" s="429"/>
      <c r="X92" s="429"/>
      <c r="Y92" s="429"/>
      <c r="Z92" s="429"/>
      <c r="AA92" s="429"/>
      <c r="AB92" s="429"/>
      <c r="AC92" s="429"/>
      <c r="AD92" s="429"/>
      <c r="AE92" s="429"/>
    </row>
    <row r="93" spans="1:31">
      <c r="A93" s="429"/>
      <c r="B93" s="429"/>
      <c r="C93" s="429"/>
      <c r="D93" s="429"/>
      <c r="E93" s="429"/>
      <c r="F93" s="429"/>
      <c r="G93" s="429"/>
      <c r="H93" s="429"/>
      <c r="I93" s="429"/>
      <c r="J93" s="429"/>
      <c r="K93" s="429"/>
      <c r="L93" s="429"/>
      <c r="M93" s="429"/>
      <c r="N93" s="429"/>
      <c r="O93" s="429"/>
      <c r="P93" s="429"/>
      <c r="Q93" s="429"/>
      <c r="R93" s="429"/>
      <c r="S93" s="429"/>
      <c r="T93" s="429"/>
      <c r="U93" s="429"/>
      <c r="V93" s="429"/>
      <c r="W93" s="429"/>
      <c r="X93" s="429"/>
      <c r="Y93" s="429"/>
      <c r="Z93" s="429"/>
      <c r="AA93" s="429"/>
      <c r="AB93" s="429"/>
      <c r="AC93" s="429"/>
      <c r="AD93" s="429"/>
      <c r="AE93" s="429"/>
    </row>
    <row r="94" spans="1:31">
      <c r="A94" s="429"/>
      <c r="B94" s="429"/>
      <c r="C94" s="429"/>
      <c r="D94" s="429"/>
      <c r="E94" s="429"/>
      <c r="F94" s="429"/>
      <c r="G94" s="429"/>
      <c r="H94" s="429"/>
      <c r="I94" s="429"/>
      <c r="J94" s="429"/>
      <c r="K94" s="429"/>
      <c r="L94" s="429"/>
      <c r="M94" s="429"/>
      <c r="N94" s="429"/>
      <c r="O94" s="429"/>
      <c r="P94" s="429"/>
      <c r="Q94" s="429"/>
      <c r="R94" s="429"/>
      <c r="S94" s="429"/>
      <c r="T94" s="429"/>
      <c r="U94" s="429"/>
      <c r="V94" s="429"/>
      <c r="W94" s="429"/>
      <c r="X94" s="429"/>
      <c r="Y94" s="429"/>
      <c r="Z94" s="429"/>
      <c r="AA94" s="429"/>
      <c r="AB94" s="429"/>
      <c r="AC94" s="429"/>
      <c r="AD94" s="429"/>
      <c r="AE94" s="429"/>
    </row>
    <row r="95" spans="1:31">
      <c r="A95" s="429"/>
      <c r="B95" s="429"/>
      <c r="C95" s="429"/>
      <c r="D95" s="429"/>
      <c r="E95" s="429"/>
      <c r="F95" s="429"/>
      <c r="G95" s="429"/>
      <c r="H95" s="429"/>
      <c r="I95" s="429"/>
      <c r="J95" s="429"/>
      <c r="K95" s="429"/>
      <c r="L95" s="429"/>
      <c r="M95" s="429"/>
      <c r="N95" s="429"/>
      <c r="O95" s="429"/>
      <c r="P95" s="429"/>
      <c r="Q95" s="429"/>
      <c r="R95" s="429"/>
      <c r="S95" s="429"/>
      <c r="T95" s="429"/>
      <c r="U95" s="429"/>
      <c r="V95" s="429"/>
      <c r="W95" s="429"/>
      <c r="X95" s="429"/>
      <c r="Y95" s="429"/>
      <c r="Z95" s="429"/>
      <c r="AA95" s="429"/>
      <c r="AB95" s="429"/>
      <c r="AC95" s="429"/>
      <c r="AD95" s="429"/>
      <c r="AE95" s="429"/>
    </row>
    <row r="96" spans="1:31">
      <c r="A96" s="429"/>
      <c r="B96" s="429"/>
      <c r="C96" s="429"/>
      <c r="D96" s="429"/>
      <c r="E96" s="429"/>
      <c r="F96" s="429"/>
      <c r="G96" s="429"/>
      <c r="H96" s="429"/>
      <c r="I96" s="429"/>
      <c r="J96" s="429"/>
      <c r="K96" s="429"/>
      <c r="L96" s="429"/>
      <c r="M96" s="429"/>
      <c r="N96" s="429"/>
      <c r="O96" s="429"/>
      <c r="P96" s="429"/>
      <c r="Q96" s="429"/>
      <c r="R96" s="429"/>
      <c r="S96" s="429"/>
      <c r="T96" s="429"/>
      <c r="U96" s="429"/>
      <c r="V96" s="429"/>
      <c r="W96" s="429"/>
      <c r="X96" s="429"/>
      <c r="Y96" s="429"/>
      <c r="Z96" s="429"/>
      <c r="AA96" s="429"/>
      <c r="AB96" s="429"/>
      <c r="AC96" s="429"/>
      <c r="AD96" s="429"/>
      <c r="AE96" s="429"/>
    </row>
    <row r="97" spans="1:31">
      <c r="A97" s="429"/>
      <c r="B97" s="429"/>
      <c r="C97" s="429"/>
      <c r="D97" s="429"/>
      <c r="E97" s="429"/>
      <c r="F97" s="429"/>
      <c r="G97" s="429"/>
      <c r="H97" s="429"/>
      <c r="I97" s="429"/>
      <c r="J97" s="429"/>
      <c r="K97" s="429"/>
      <c r="L97" s="429"/>
      <c r="M97" s="429"/>
      <c r="N97" s="429"/>
      <c r="O97" s="429"/>
      <c r="P97" s="429"/>
      <c r="Q97" s="429"/>
      <c r="R97" s="429"/>
      <c r="S97" s="429"/>
      <c r="T97" s="429"/>
      <c r="U97" s="429"/>
      <c r="V97" s="429"/>
      <c r="W97" s="429"/>
      <c r="X97" s="429"/>
      <c r="Y97" s="429"/>
      <c r="Z97" s="429"/>
      <c r="AA97" s="429"/>
      <c r="AB97" s="429"/>
      <c r="AC97" s="429"/>
      <c r="AD97" s="429"/>
      <c r="AE97" s="429"/>
    </row>
    <row r="98" spans="1:31">
      <c r="A98" s="429"/>
      <c r="B98" s="429"/>
      <c r="C98" s="429"/>
      <c r="D98" s="429"/>
      <c r="E98" s="429"/>
      <c r="F98" s="429"/>
      <c r="G98" s="429"/>
      <c r="H98" s="429"/>
      <c r="I98" s="429"/>
      <c r="J98" s="429"/>
      <c r="K98" s="429"/>
      <c r="L98" s="429"/>
      <c r="M98" s="429"/>
      <c r="N98" s="429"/>
      <c r="O98" s="429"/>
      <c r="P98" s="429"/>
      <c r="Q98" s="429"/>
      <c r="R98" s="429"/>
      <c r="S98" s="429"/>
      <c r="T98" s="429"/>
      <c r="U98" s="429"/>
      <c r="V98" s="429"/>
      <c r="W98" s="429"/>
      <c r="X98" s="429"/>
      <c r="Y98" s="429"/>
      <c r="Z98" s="429"/>
      <c r="AA98" s="429"/>
      <c r="AB98" s="429"/>
      <c r="AC98" s="429"/>
      <c r="AD98" s="429"/>
      <c r="AE98" s="429"/>
    </row>
    <row r="99" spans="1:31">
      <c r="A99" s="429"/>
      <c r="B99" s="429"/>
      <c r="C99" s="429"/>
      <c r="D99" s="429"/>
      <c r="E99" s="429"/>
      <c r="F99" s="429"/>
      <c r="G99" s="429"/>
      <c r="H99" s="429"/>
      <c r="I99" s="429"/>
      <c r="J99" s="429"/>
      <c r="K99" s="429"/>
      <c r="L99" s="429"/>
      <c r="M99" s="429"/>
      <c r="N99" s="429"/>
      <c r="O99" s="429"/>
      <c r="P99" s="429"/>
      <c r="Q99" s="429"/>
      <c r="R99" s="429"/>
      <c r="S99" s="429"/>
      <c r="T99" s="429"/>
      <c r="U99" s="429"/>
      <c r="V99" s="429"/>
      <c r="W99" s="429"/>
      <c r="X99" s="429"/>
      <c r="Y99" s="429"/>
      <c r="Z99" s="429"/>
      <c r="AA99" s="429"/>
      <c r="AB99" s="429"/>
      <c r="AC99" s="429"/>
      <c r="AD99" s="429"/>
      <c r="AE99" s="429"/>
    </row>
    <row r="100" spans="1:31">
      <c r="A100" s="429"/>
      <c r="B100" s="429"/>
      <c r="C100" s="429"/>
      <c r="D100" s="429"/>
      <c r="E100" s="429"/>
      <c r="F100" s="429"/>
      <c r="G100" s="429"/>
      <c r="H100" s="429"/>
      <c r="I100" s="429"/>
      <c r="J100" s="429"/>
      <c r="K100" s="429"/>
      <c r="L100" s="429"/>
      <c r="M100" s="429"/>
      <c r="N100" s="429"/>
      <c r="O100" s="429"/>
      <c r="P100" s="429"/>
      <c r="Q100" s="429"/>
      <c r="R100" s="429"/>
      <c r="S100" s="429"/>
      <c r="T100" s="429"/>
      <c r="U100" s="429"/>
      <c r="V100" s="429"/>
      <c r="W100" s="429"/>
      <c r="X100" s="429"/>
      <c r="Y100" s="429"/>
      <c r="Z100" s="429"/>
      <c r="AA100" s="429"/>
      <c r="AB100" s="429"/>
      <c r="AC100" s="429"/>
      <c r="AD100" s="429"/>
      <c r="AE100" s="429"/>
    </row>
    <row r="101" spans="1:31">
      <c r="A101" s="429"/>
      <c r="B101" s="429"/>
      <c r="C101" s="429"/>
      <c r="D101" s="429"/>
      <c r="E101" s="429"/>
      <c r="F101" s="429"/>
      <c r="G101" s="429"/>
      <c r="H101" s="429"/>
      <c r="I101" s="429"/>
      <c r="J101" s="429"/>
      <c r="K101" s="429"/>
      <c r="L101" s="429"/>
      <c r="M101" s="429"/>
      <c r="N101" s="429"/>
      <c r="O101" s="429"/>
      <c r="P101" s="429"/>
      <c r="Q101" s="429"/>
      <c r="R101" s="429"/>
      <c r="S101" s="429"/>
      <c r="T101" s="429"/>
      <c r="U101" s="429"/>
      <c r="V101" s="429"/>
      <c r="W101" s="429"/>
      <c r="X101" s="429"/>
      <c r="Y101" s="429"/>
      <c r="Z101" s="429"/>
      <c r="AA101" s="429"/>
      <c r="AB101" s="429"/>
      <c r="AC101" s="429"/>
      <c r="AD101" s="429"/>
      <c r="AE101" s="429"/>
    </row>
    <row r="102" spans="1:31">
      <c r="A102" s="429"/>
      <c r="B102" s="429"/>
      <c r="C102" s="429"/>
      <c r="D102" s="429"/>
      <c r="E102" s="429"/>
      <c r="F102" s="429"/>
      <c r="G102" s="429"/>
      <c r="H102" s="429"/>
      <c r="I102" s="429"/>
      <c r="J102" s="429"/>
      <c r="K102" s="429"/>
      <c r="L102" s="429"/>
      <c r="M102" s="429"/>
      <c r="N102" s="429"/>
      <c r="O102" s="429"/>
      <c r="P102" s="429"/>
      <c r="Q102" s="429"/>
      <c r="R102" s="429"/>
      <c r="S102" s="429"/>
      <c r="T102" s="429"/>
      <c r="U102" s="429"/>
      <c r="V102" s="429"/>
      <c r="W102" s="429"/>
      <c r="X102" s="429"/>
      <c r="Y102" s="429"/>
      <c r="Z102" s="429"/>
      <c r="AA102" s="429"/>
      <c r="AB102" s="429"/>
      <c r="AC102" s="429"/>
      <c r="AD102" s="429"/>
      <c r="AE102" s="429"/>
    </row>
    <row r="103" spans="1:31">
      <c r="A103" s="429"/>
      <c r="B103" s="429"/>
      <c r="C103" s="429"/>
      <c r="D103" s="429"/>
      <c r="E103" s="429"/>
      <c r="F103" s="429"/>
      <c r="G103" s="429"/>
      <c r="H103" s="429"/>
      <c r="I103" s="429"/>
      <c r="J103" s="429"/>
      <c r="K103" s="429"/>
      <c r="L103" s="429"/>
      <c r="M103" s="429"/>
      <c r="N103" s="429"/>
      <c r="O103" s="429"/>
      <c r="P103" s="429"/>
      <c r="Q103" s="429"/>
      <c r="R103" s="429"/>
      <c r="S103" s="429"/>
      <c r="T103" s="429"/>
      <c r="U103" s="429"/>
      <c r="V103" s="429"/>
      <c r="W103" s="429"/>
      <c r="X103" s="429"/>
      <c r="Y103" s="429"/>
      <c r="Z103" s="429"/>
      <c r="AA103" s="429"/>
      <c r="AB103" s="429"/>
      <c r="AC103" s="429"/>
      <c r="AD103" s="429"/>
      <c r="AE103" s="429"/>
    </row>
    <row r="104" spans="1:31">
      <c r="A104" s="429"/>
      <c r="B104" s="429"/>
      <c r="C104" s="429"/>
      <c r="D104" s="429"/>
      <c r="E104" s="429"/>
      <c r="F104" s="429"/>
      <c r="G104" s="429"/>
      <c r="H104" s="429"/>
      <c r="I104" s="429"/>
      <c r="J104" s="429"/>
      <c r="K104" s="429"/>
      <c r="L104" s="429"/>
      <c r="M104" s="429"/>
      <c r="N104" s="429"/>
      <c r="O104" s="429"/>
      <c r="P104" s="429"/>
      <c r="Q104" s="429"/>
      <c r="R104" s="429"/>
      <c r="S104" s="429"/>
      <c r="T104" s="429"/>
      <c r="U104" s="429"/>
      <c r="V104" s="429"/>
      <c r="W104" s="429"/>
      <c r="X104" s="429"/>
      <c r="Y104" s="429"/>
      <c r="Z104" s="429"/>
      <c r="AA104" s="429"/>
      <c r="AB104" s="429"/>
      <c r="AC104" s="429"/>
      <c r="AD104" s="429"/>
      <c r="AE104" s="429"/>
    </row>
    <row r="105" spans="1:31">
      <c r="A105" s="429"/>
      <c r="B105" s="429"/>
      <c r="C105" s="429"/>
      <c r="D105" s="429"/>
      <c r="E105" s="429"/>
      <c r="F105" s="429"/>
      <c r="G105" s="429"/>
      <c r="H105" s="429"/>
      <c r="I105" s="429"/>
      <c r="J105" s="429"/>
      <c r="K105" s="429"/>
      <c r="L105" s="429"/>
      <c r="M105" s="429"/>
      <c r="N105" s="429"/>
      <c r="O105" s="429"/>
      <c r="P105" s="429"/>
      <c r="Q105" s="429"/>
      <c r="R105" s="429"/>
      <c r="S105" s="429"/>
      <c r="T105" s="429"/>
      <c r="U105" s="429"/>
      <c r="V105" s="429"/>
      <c r="W105" s="429"/>
      <c r="X105" s="429"/>
      <c r="Y105" s="429"/>
      <c r="Z105" s="429"/>
      <c r="AA105" s="429"/>
      <c r="AB105" s="429"/>
      <c r="AC105" s="429"/>
      <c r="AD105" s="429"/>
      <c r="AE105" s="429"/>
    </row>
    <row r="106" spans="1:31">
      <c r="A106" s="429"/>
      <c r="B106" s="429"/>
      <c r="C106" s="429"/>
      <c r="D106" s="429"/>
      <c r="E106" s="429"/>
      <c r="F106" s="429"/>
      <c r="G106" s="429"/>
      <c r="H106" s="429"/>
      <c r="I106" s="429"/>
      <c r="J106" s="429"/>
      <c r="K106" s="429"/>
      <c r="L106" s="429"/>
      <c r="M106" s="429"/>
      <c r="N106" s="429"/>
      <c r="O106" s="429"/>
      <c r="P106" s="429"/>
      <c r="Q106" s="429"/>
      <c r="R106" s="429"/>
      <c r="S106" s="429"/>
      <c r="T106" s="429"/>
      <c r="U106" s="429"/>
      <c r="V106" s="429"/>
      <c r="W106" s="429"/>
      <c r="X106" s="429"/>
      <c r="Y106" s="429"/>
      <c r="Z106" s="429"/>
      <c r="AA106" s="429"/>
      <c r="AB106" s="429"/>
      <c r="AC106" s="429"/>
      <c r="AD106" s="429"/>
      <c r="AE106" s="429"/>
    </row>
    <row r="107" spans="1:31">
      <c r="A107" s="429"/>
      <c r="B107" s="429"/>
      <c r="C107" s="429"/>
      <c r="D107" s="429"/>
      <c r="E107" s="429"/>
      <c r="F107" s="429"/>
      <c r="G107" s="429"/>
      <c r="H107" s="429"/>
      <c r="I107" s="429"/>
      <c r="J107" s="429"/>
      <c r="K107" s="429"/>
      <c r="L107" s="429"/>
      <c r="M107" s="429"/>
      <c r="N107" s="429"/>
      <c r="O107" s="429"/>
      <c r="P107" s="429"/>
      <c r="Q107" s="429"/>
      <c r="R107" s="429"/>
      <c r="S107" s="429"/>
      <c r="T107" s="429"/>
      <c r="U107" s="429"/>
      <c r="V107" s="429"/>
      <c r="W107" s="429"/>
      <c r="X107" s="429"/>
      <c r="Y107" s="429"/>
      <c r="Z107" s="429"/>
      <c r="AA107" s="429"/>
      <c r="AB107" s="429"/>
      <c r="AC107" s="429"/>
      <c r="AD107" s="429"/>
      <c r="AE107" s="429"/>
    </row>
    <row r="108" spans="1:31">
      <c r="A108" s="429"/>
      <c r="B108" s="429"/>
      <c r="C108" s="429"/>
      <c r="D108" s="429"/>
      <c r="E108" s="429"/>
      <c r="F108" s="429"/>
      <c r="G108" s="429"/>
      <c r="H108" s="429"/>
      <c r="I108" s="429"/>
      <c r="J108" s="429"/>
      <c r="K108" s="429"/>
      <c r="L108" s="429"/>
      <c r="M108" s="429"/>
      <c r="N108" s="429"/>
      <c r="O108" s="429"/>
      <c r="P108" s="429"/>
      <c r="Q108" s="429"/>
      <c r="R108" s="429"/>
      <c r="S108" s="429"/>
      <c r="T108" s="429"/>
      <c r="U108" s="429"/>
      <c r="V108" s="429"/>
      <c r="W108" s="429"/>
      <c r="X108" s="429"/>
      <c r="Y108" s="429"/>
      <c r="Z108" s="429"/>
      <c r="AA108" s="429"/>
      <c r="AB108" s="429"/>
      <c r="AC108" s="429"/>
      <c r="AD108" s="429"/>
      <c r="AE108" s="429"/>
    </row>
    <row r="109" spans="1:31">
      <c r="A109" s="429"/>
      <c r="B109" s="429"/>
      <c r="C109" s="429"/>
      <c r="D109" s="429"/>
      <c r="E109" s="429"/>
      <c r="F109" s="429"/>
      <c r="G109" s="429"/>
      <c r="H109" s="429"/>
      <c r="I109" s="429"/>
      <c r="J109" s="429"/>
      <c r="K109" s="429"/>
      <c r="L109" s="429"/>
      <c r="M109" s="429"/>
      <c r="N109" s="429"/>
      <c r="O109" s="429"/>
      <c r="P109" s="429"/>
      <c r="Q109" s="429"/>
      <c r="R109" s="429"/>
      <c r="S109" s="429"/>
      <c r="T109" s="429"/>
      <c r="U109" s="429"/>
      <c r="V109" s="429"/>
      <c r="W109" s="429"/>
      <c r="X109" s="429"/>
      <c r="Y109" s="429"/>
      <c r="Z109" s="429"/>
      <c r="AA109" s="429"/>
      <c r="AB109" s="429"/>
      <c r="AC109" s="429"/>
      <c r="AD109" s="429"/>
      <c r="AE109" s="429"/>
    </row>
    <row r="110" spans="1:31">
      <c r="A110" s="429"/>
      <c r="B110" s="429"/>
      <c r="C110" s="429"/>
      <c r="D110" s="429"/>
      <c r="E110" s="429"/>
      <c r="F110" s="429"/>
      <c r="G110" s="429"/>
      <c r="H110" s="429"/>
      <c r="I110" s="429"/>
      <c r="J110" s="429"/>
      <c r="K110" s="429"/>
      <c r="L110" s="429"/>
      <c r="M110" s="429"/>
      <c r="N110" s="429"/>
      <c r="O110" s="429"/>
      <c r="P110" s="429"/>
      <c r="Q110" s="429"/>
      <c r="R110" s="429"/>
      <c r="S110" s="429"/>
      <c r="T110" s="429"/>
      <c r="U110" s="429"/>
      <c r="V110" s="429"/>
      <c r="W110" s="429"/>
      <c r="X110" s="429"/>
      <c r="Y110" s="429"/>
      <c r="Z110" s="429"/>
      <c r="AA110" s="429"/>
      <c r="AB110" s="429"/>
      <c r="AC110" s="429"/>
      <c r="AD110" s="429"/>
      <c r="AE110" s="429"/>
    </row>
    <row r="111" spans="1:31">
      <c r="A111" s="429"/>
      <c r="B111" s="429"/>
      <c r="C111" s="429"/>
      <c r="D111" s="429"/>
      <c r="E111" s="429"/>
      <c r="F111" s="429"/>
      <c r="G111" s="429"/>
      <c r="H111" s="429"/>
      <c r="I111" s="429"/>
      <c r="J111" s="429"/>
      <c r="K111" s="429"/>
      <c r="L111" s="429"/>
      <c r="M111" s="429"/>
      <c r="N111" s="429"/>
      <c r="O111" s="429"/>
      <c r="P111" s="429"/>
      <c r="Q111" s="429"/>
      <c r="R111" s="429"/>
      <c r="S111" s="429"/>
      <c r="T111" s="429"/>
      <c r="U111" s="429"/>
      <c r="V111" s="429"/>
      <c r="W111" s="429"/>
      <c r="X111" s="429"/>
      <c r="Y111" s="429"/>
      <c r="Z111" s="429"/>
      <c r="AA111" s="429"/>
      <c r="AB111" s="429"/>
      <c r="AC111" s="429"/>
      <c r="AD111" s="429"/>
      <c r="AE111" s="429"/>
    </row>
    <row r="112" spans="1:31">
      <c r="A112" s="429"/>
      <c r="B112" s="429"/>
      <c r="C112" s="429"/>
      <c r="D112" s="429"/>
      <c r="E112" s="429"/>
      <c r="F112" s="429"/>
      <c r="G112" s="429"/>
      <c r="H112" s="429"/>
      <c r="I112" s="429"/>
      <c r="J112" s="429"/>
      <c r="K112" s="429"/>
      <c r="L112" s="429"/>
      <c r="M112" s="429"/>
      <c r="N112" s="429"/>
      <c r="O112" s="429"/>
      <c r="P112" s="429"/>
      <c r="Q112" s="429"/>
      <c r="R112" s="429"/>
      <c r="S112" s="429"/>
      <c r="T112" s="429"/>
      <c r="U112" s="429"/>
      <c r="V112" s="429"/>
      <c r="W112" s="429"/>
      <c r="X112" s="429"/>
      <c r="Y112" s="429"/>
      <c r="Z112" s="429"/>
      <c r="AA112" s="429"/>
      <c r="AB112" s="429"/>
      <c r="AC112" s="429"/>
      <c r="AD112" s="429"/>
      <c r="AE112" s="429"/>
    </row>
    <row r="113" spans="1:31">
      <c r="A113" s="429"/>
      <c r="B113" s="429"/>
      <c r="C113" s="429"/>
      <c r="D113" s="429"/>
      <c r="E113" s="429"/>
      <c r="F113" s="429"/>
      <c r="G113" s="429"/>
      <c r="H113" s="429"/>
      <c r="I113" s="429"/>
      <c r="J113" s="429"/>
      <c r="K113" s="429"/>
      <c r="L113" s="429"/>
      <c r="M113" s="429"/>
      <c r="N113" s="429"/>
      <c r="O113" s="429"/>
      <c r="P113" s="429"/>
      <c r="Q113" s="429"/>
      <c r="R113" s="429"/>
      <c r="S113" s="429"/>
      <c r="T113" s="429"/>
      <c r="U113" s="429"/>
      <c r="V113" s="429"/>
      <c r="W113" s="429"/>
      <c r="X113" s="429"/>
      <c r="Y113" s="429"/>
      <c r="Z113" s="429"/>
      <c r="AA113" s="429"/>
      <c r="AB113" s="429"/>
      <c r="AC113" s="429"/>
      <c r="AD113" s="429"/>
      <c r="AE113" s="429"/>
    </row>
    <row r="114" spans="1:31">
      <c r="A114" s="429"/>
      <c r="B114" s="429"/>
      <c r="C114" s="429"/>
      <c r="D114" s="429"/>
      <c r="E114" s="429"/>
      <c r="F114" s="429"/>
      <c r="G114" s="429"/>
      <c r="H114" s="429"/>
      <c r="I114" s="429"/>
      <c r="J114" s="429"/>
      <c r="K114" s="429"/>
      <c r="L114" s="429"/>
      <c r="M114" s="429"/>
      <c r="N114" s="429"/>
      <c r="O114" s="429"/>
      <c r="P114" s="429"/>
      <c r="Q114" s="429"/>
      <c r="R114" s="429"/>
      <c r="S114" s="429"/>
      <c r="T114" s="429"/>
      <c r="U114" s="429"/>
      <c r="V114" s="429"/>
      <c r="W114" s="429"/>
      <c r="X114" s="429"/>
      <c r="Y114" s="429"/>
      <c r="Z114" s="429"/>
      <c r="AA114" s="429"/>
      <c r="AB114" s="429"/>
      <c r="AC114" s="429"/>
      <c r="AD114" s="429"/>
      <c r="AE114" s="429"/>
    </row>
    <row r="115" spans="1:31">
      <c r="A115" s="429"/>
      <c r="B115" s="429"/>
      <c r="C115" s="429"/>
      <c r="D115" s="429"/>
      <c r="E115" s="429"/>
      <c r="F115" s="429"/>
      <c r="G115" s="429"/>
      <c r="H115" s="429"/>
      <c r="I115" s="429"/>
      <c r="J115" s="429"/>
      <c r="K115" s="429"/>
      <c r="L115" s="429"/>
      <c r="M115" s="429"/>
      <c r="N115" s="429"/>
      <c r="O115" s="429"/>
      <c r="P115" s="429"/>
      <c r="Q115" s="429"/>
      <c r="R115" s="429"/>
      <c r="S115" s="429"/>
      <c r="T115" s="429"/>
      <c r="U115" s="429"/>
      <c r="V115" s="429"/>
      <c r="W115" s="429"/>
      <c r="X115" s="429"/>
      <c r="Y115" s="429"/>
      <c r="Z115" s="429"/>
      <c r="AA115" s="429"/>
      <c r="AB115" s="429"/>
      <c r="AC115" s="429"/>
      <c r="AD115" s="429"/>
      <c r="AE115" s="429"/>
    </row>
    <row r="116" spans="1:31">
      <c r="A116" s="429"/>
      <c r="B116" s="429"/>
      <c r="C116" s="429"/>
      <c r="D116" s="429"/>
      <c r="E116" s="429"/>
      <c r="F116" s="429"/>
      <c r="G116" s="429"/>
      <c r="H116" s="429"/>
      <c r="I116" s="429"/>
      <c r="J116" s="429"/>
      <c r="K116" s="429"/>
      <c r="L116" s="429"/>
      <c r="M116" s="429"/>
      <c r="N116" s="429"/>
      <c r="O116" s="429"/>
      <c r="P116" s="429"/>
      <c r="Q116" s="429"/>
      <c r="R116" s="429"/>
      <c r="S116" s="429"/>
      <c r="T116" s="429"/>
      <c r="U116" s="429"/>
      <c r="V116" s="429"/>
      <c r="W116" s="429"/>
      <c r="X116" s="429"/>
      <c r="Y116" s="429"/>
      <c r="Z116" s="429"/>
      <c r="AA116" s="429"/>
      <c r="AB116" s="429"/>
      <c r="AC116" s="429"/>
      <c r="AD116" s="429"/>
      <c r="AE116" s="429"/>
    </row>
    <row r="117" spans="1:31">
      <c r="A117" s="429"/>
      <c r="B117" s="429"/>
      <c r="C117" s="429"/>
      <c r="D117" s="429"/>
      <c r="E117" s="429"/>
      <c r="F117" s="429"/>
      <c r="G117" s="429"/>
      <c r="H117" s="429"/>
      <c r="I117" s="429"/>
      <c r="J117" s="429"/>
      <c r="K117" s="429"/>
      <c r="L117" s="429"/>
      <c r="M117" s="429"/>
      <c r="N117" s="429"/>
      <c r="O117" s="429"/>
      <c r="P117" s="429"/>
      <c r="Q117" s="429"/>
      <c r="R117" s="429"/>
      <c r="S117" s="429"/>
      <c r="T117" s="429"/>
      <c r="U117" s="429"/>
      <c r="V117" s="429"/>
      <c r="W117" s="429"/>
      <c r="X117" s="429"/>
      <c r="Y117" s="429"/>
      <c r="Z117" s="429"/>
      <c r="AA117" s="429"/>
      <c r="AB117" s="429"/>
      <c r="AC117" s="429"/>
      <c r="AD117" s="429"/>
      <c r="AE117" s="429"/>
    </row>
    <row r="118" spans="1:31">
      <c r="A118" s="429"/>
      <c r="B118" s="429"/>
      <c r="C118" s="429"/>
      <c r="D118" s="429"/>
      <c r="E118" s="429"/>
      <c r="F118" s="429"/>
      <c r="G118" s="429"/>
      <c r="H118" s="429"/>
      <c r="I118" s="429"/>
      <c r="J118" s="429"/>
      <c r="K118" s="429"/>
      <c r="L118" s="429"/>
      <c r="M118" s="429"/>
      <c r="N118" s="429"/>
      <c r="O118" s="429"/>
      <c r="P118" s="429"/>
      <c r="Q118" s="429"/>
      <c r="R118" s="429"/>
      <c r="S118" s="429"/>
      <c r="T118" s="429"/>
      <c r="U118" s="429"/>
      <c r="V118" s="429"/>
      <c r="W118" s="429"/>
      <c r="X118" s="429"/>
      <c r="Y118" s="429"/>
      <c r="Z118" s="429"/>
      <c r="AA118" s="429"/>
      <c r="AB118" s="429"/>
      <c r="AC118" s="429"/>
      <c r="AD118" s="429"/>
      <c r="AE118" s="429"/>
    </row>
    <row r="119" spans="1:31">
      <c r="A119" s="429"/>
      <c r="B119" s="429"/>
      <c r="C119" s="429"/>
      <c r="D119" s="429"/>
      <c r="E119" s="429"/>
      <c r="F119" s="429"/>
      <c r="G119" s="429"/>
      <c r="H119" s="429"/>
      <c r="I119" s="429"/>
      <c r="J119" s="429"/>
      <c r="K119" s="429"/>
      <c r="L119" s="429"/>
      <c r="M119" s="429"/>
      <c r="N119" s="429"/>
      <c r="O119" s="429"/>
      <c r="P119" s="429"/>
      <c r="Q119" s="429"/>
      <c r="R119" s="429"/>
      <c r="S119" s="429"/>
      <c r="T119" s="429"/>
      <c r="U119" s="429"/>
      <c r="V119" s="429"/>
      <c r="W119" s="429"/>
      <c r="X119" s="429"/>
      <c r="Y119" s="429"/>
      <c r="Z119" s="429"/>
      <c r="AA119" s="429"/>
      <c r="AB119" s="429"/>
      <c r="AC119" s="429"/>
      <c r="AD119" s="429"/>
      <c r="AE119" s="429"/>
    </row>
    <row r="120" spans="1:31">
      <c r="A120" s="429"/>
      <c r="B120" s="429"/>
      <c r="C120" s="429"/>
      <c r="D120" s="429"/>
      <c r="E120" s="429"/>
      <c r="F120" s="429"/>
      <c r="G120" s="429"/>
      <c r="H120" s="429"/>
      <c r="I120" s="429"/>
      <c r="J120" s="429"/>
      <c r="K120" s="429"/>
      <c r="L120" s="429"/>
      <c r="M120" s="429"/>
      <c r="N120" s="429"/>
      <c r="O120" s="429"/>
      <c r="P120" s="429"/>
      <c r="Q120" s="429"/>
      <c r="R120" s="429"/>
      <c r="S120" s="429"/>
      <c r="T120" s="429"/>
      <c r="U120" s="429"/>
      <c r="V120" s="429"/>
      <c r="W120" s="429"/>
      <c r="X120" s="429"/>
      <c r="Y120" s="429"/>
      <c r="Z120" s="429"/>
      <c r="AA120" s="429"/>
      <c r="AB120" s="429"/>
      <c r="AC120" s="429"/>
      <c r="AD120" s="429"/>
      <c r="AE120" s="429"/>
    </row>
    <row r="121" spans="1:31">
      <c r="A121" s="429"/>
      <c r="B121" s="429"/>
      <c r="C121" s="429"/>
      <c r="D121" s="429"/>
      <c r="E121" s="429"/>
      <c r="F121" s="429"/>
      <c r="G121" s="429"/>
      <c r="H121" s="429"/>
      <c r="I121" s="429"/>
      <c r="J121" s="429"/>
      <c r="K121" s="429"/>
      <c r="L121" s="429"/>
      <c r="M121" s="429"/>
      <c r="N121" s="429"/>
      <c r="O121" s="429"/>
      <c r="P121" s="429"/>
      <c r="Q121" s="429"/>
      <c r="R121" s="429"/>
      <c r="S121" s="429"/>
      <c r="T121" s="429"/>
      <c r="U121" s="429"/>
      <c r="V121" s="429"/>
      <c r="W121" s="429"/>
      <c r="X121" s="429"/>
      <c r="Y121" s="429"/>
      <c r="Z121" s="429"/>
      <c r="AA121" s="429"/>
      <c r="AB121" s="429"/>
      <c r="AC121" s="429"/>
      <c r="AD121" s="429"/>
      <c r="AE121" s="429"/>
    </row>
    <row r="122" spans="1:31">
      <c r="A122" s="429"/>
      <c r="B122" s="429"/>
      <c r="C122" s="429"/>
      <c r="D122" s="429"/>
      <c r="E122" s="429"/>
      <c r="F122" s="429"/>
      <c r="G122" s="429"/>
      <c r="H122" s="429"/>
      <c r="I122" s="429"/>
      <c r="J122" s="429"/>
      <c r="K122" s="429"/>
      <c r="L122" s="429"/>
      <c r="M122" s="429"/>
      <c r="N122" s="429"/>
      <c r="O122" s="429"/>
      <c r="P122" s="429"/>
      <c r="Q122" s="429"/>
      <c r="R122" s="429"/>
      <c r="S122" s="429"/>
      <c r="T122" s="429"/>
      <c r="U122" s="429"/>
      <c r="V122" s="429"/>
      <c r="W122" s="429"/>
      <c r="X122" s="429"/>
      <c r="Y122" s="429"/>
      <c r="Z122" s="429"/>
      <c r="AA122" s="429"/>
      <c r="AB122" s="429"/>
      <c r="AC122" s="429"/>
      <c r="AD122" s="429"/>
      <c r="AE122" s="429"/>
    </row>
    <row r="123" spans="1:31">
      <c r="A123" s="429"/>
      <c r="B123" s="429"/>
      <c r="C123" s="429"/>
      <c r="D123" s="429"/>
      <c r="E123" s="429"/>
      <c r="F123" s="429"/>
      <c r="G123" s="429"/>
      <c r="H123" s="429"/>
      <c r="I123" s="429"/>
      <c r="J123" s="429"/>
      <c r="K123" s="429"/>
      <c r="L123" s="429"/>
      <c r="M123" s="429"/>
      <c r="N123" s="429"/>
      <c r="O123" s="429"/>
      <c r="P123" s="429"/>
      <c r="Q123" s="429"/>
      <c r="R123" s="429"/>
      <c r="S123" s="429"/>
      <c r="T123" s="429"/>
      <c r="U123" s="429"/>
      <c r="V123" s="429"/>
      <c r="W123" s="429"/>
      <c r="X123" s="429"/>
      <c r="Y123" s="429"/>
      <c r="Z123" s="429"/>
      <c r="AA123" s="429"/>
      <c r="AB123" s="429"/>
      <c r="AC123" s="429"/>
      <c r="AD123" s="429"/>
      <c r="AE123" s="429"/>
    </row>
    <row r="124" spans="1:31">
      <c r="A124" s="429"/>
      <c r="B124" s="429"/>
      <c r="C124" s="429"/>
      <c r="D124" s="429"/>
      <c r="E124" s="429"/>
      <c r="F124" s="429"/>
      <c r="G124" s="429"/>
      <c r="H124" s="429"/>
      <c r="I124" s="429"/>
      <c r="J124" s="429"/>
      <c r="K124" s="429"/>
      <c r="L124" s="429"/>
      <c r="M124" s="429"/>
      <c r="N124" s="429"/>
      <c r="O124" s="429"/>
      <c r="P124" s="429"/>
      <c r="Q124" s="429"/>
      <c r="R124" s="429"/>
      <c r="S124" s="429"/>
      <c r="T124" s="429"/>
      <c r="U124" s="429"/>
      <c r="V124" s="429"/>
      <c r="W124" s="429"/>
      <c r="X124" s="429"/>
      <c r="Y124" s="429"/>
      <c r="Z124" s="429"/>
      <c r="AA124" s="429"/>
      <c r="AB124" s="429"/>
      <c r="AC124" s="429"/>
      <c r="AD124" s="429"/>
      <c r="AE124" s="429"/>
    </row>
    <row r="125" spans="1:31">
      <c r="A125" s="429"/>
      <c r="B125" s="429"/>
      <c r="C125" s="429"/>
      <c r="D125" s="429"/>
      <c r="E125" s="429"/>
      <c r="F125" s="429"/>
      <c r="G125" s="429"/>
      <c r="H125" s="429"/>
      <c r="I125" s="429"/>
      <c r="J125" s="429"/>
      <c r="K125" s="429"/>
      <c r="L125" s="429"/>
      <c r="M125" s="429"/>
      <c r="N125" s="429"/>
      <c r="O125" s="429"/>
      <c r="P125" s="429"/>
      <c r="Q125" s="429"/>
      <c r="R125" s="429"/>
      <c r="S125" s="429"/>
      <c r="T125" s="429"/>
      <c r="U125" s="429"/>
      <c r="V125" s="429"/>
      <c r="W125" s="429"/>
      <c r="X125" s="429"/>
      <c r="Y125" s="429"/>
      <c r="Z125" s="429"/>
      <c r="AA125" s="429"/>
      <c r="AB125" s="429"/>
      <c r="AC125" s="429"/>
      <c r="AD125" s="429"/>
      <c r="AE125" s="429"/>
    </row>
    <row r="126" spans="1:31">
      <c r="A126" s="429"/>
      <c r="B126" s="429"/>
      <c r="C126" s="429"/>
      <c r="D126" s="429"/>
      <c r="E126" s="429"/>
      <c r="F126" s="429"/>
      <c r="G126" s="429"/>
      <c r="H126" s="429"/>
      <c r="I126" s="429"/>
      <c r="J126" s="429"/>
      <c r="K126" s="429"/>
      <c r="L126" s="429"/>
      <c r="M126" s="429"/>
      <c r="N126" s="429"/>
      <c r="O126" s="429"/>
      <c r="P126" s="429"/>
      <c r="Q126" s="429"/>
      <c r="R126" s="429"/>
      <c r="S126" s="429"/>
      <c r="T126" s="429"/>
      <c r="U126" s="429"/>
      <c r="V126" s="429"/>
      <c r="W126" s="429"/>
      <c r="X126" s="429"/>
      <c r="Y126" s="429"/>
      <c r="Z126" s="429"/>
      <c r="AA126" s="429"/>
      <c r="AB126" s="429"/>
      <c r="AC126" s="429"/>
      <c r="AD126" s="429"/>
      <c r="AE126" s="429"/>
    </row>
    <row r="127" spans="1:31">
      <c r="A127" s="429"/>
      <c r="B127" s="429"/>
      <c r="C127" s="429"/>
      <c r="D127" s="429"/>
      <c r="E127" s="429"/>
      <c r="F127" s="429"/>
      <c r="G127" s="429"/>
      <c r="H127" s="429"/>
      <c r="I127" s="429"/>
      <c r="J127" s="429"/>
      <c r="K127" s="429"/>
      <c r="L127" s="429"/>
      <c r="M127" s="429"/>
      <c r="N127" s="429"/>
      <c r="O127" s="429"/>
      <c r="P127" s="429"/>
      <c r="Q127" s="429"/>
      <c r="R127" s="429"/>
      <c r="S127" s="429"/>
      <c r="T127" s="429"/>
      <c r="U127" s="429"/>
      <c r="V127" s="429"/>
      <c r="W127" s="429"/>
      <c r="X127" s="429"/>
      <c r="Y127" s="429"/>
      <c r="Z127" s="429"/>
      <c r="AA127" s="429"/>
      <c r="AB127" s="429"/>
      <c r="AC127" s="429"/>
      <c r="AD127" s="429"/>
      <c r="AE127" s="429"/>
    </row>
    <row r="128" spans="1:31">
      <c r="A128" s="429"/>
      <c r="B128" s="429"/>
      <c r="C128" s="429"/>
      <c r="D128" s="429"/>
      <c r="E128" s="429"/>
      <c r="F128" s="429"/>
      <c r="G128" s="429"/>
      <c r="H128" s="429"/>
      <c r="I128" s="429"/>
      <c r="J128" s="429"/>
      <c r="K128" s="429"/>
      <c r="L128" s="429"/>
      <c r="M128" s="429"/>
      <c r="N128" s="429"/>
      <c r="O128" s="429"/>
      <c r="P128" s="429"/>
      <c r="Q128" s="429"/>
      <c r="R128" s="429"/>
      <c r="S128" s="429"/>
      <c r="T128" s="429"/>
      <c r="U128" s="429"/>
      <c r="V128" s="429"/>
      <c r="W128" s="429"/>
      <c r="X128" s="429"/>
      <c r="Y128" s="429"/>
      <c r="Z128" s="429"/>
      <c r="AA128" s="429"/>
      <c r="AB128" s="429"/>
      <c r="AC128" s="429"/>
      <c r="AD128" s="429"/>
      <c r="AE128" s="429"/>
    </row>
    <row r="129" spans="1:31">
      <c r="A129" s="429"/>
      <c r="B129" s="429"/>
      <c r="C129" s="429"/>
      <c r="D129" s="429"/>
      <c r="E129" s="429"/>
      <c r="F129" s="429"/>
      <c r="G129" s="429"/>
      <c r="H129" s="429"/>
      <c r="I129" s="429"/>
      <c r="J129" s="429"/>
      <c r="K129" s="429"/>
      <c r="L129" s="429"/>
      <c r="M129" s="429"/>
      <c r="N129" s="429"/>
      <c r="O129" s="429"/>
      <c r="P129" s="429"/>
      <c r="Q129" s="429"/>
      <c r="R129" s="429"/>
      <c r="S129" s="429"/>
      <c r="T129" s="429"/>
      <c r="U129" s="429"/>
      <c r="V129" s="429"/>
      <c r="W129" s="429"/>
      <c r="X129" s="429"/>
      <c r="Y129" s="429"/>
      <c r="Z129" s="429"/>
      <c r="AA129" s="429"/>
      <c r="AB129" s="429"/>
      <c r="AC129" s="429"/>
      <c r="AD129" s="429"/>
      <c r="AE129" s="429"/>
    </row>
    <row r="130" spans="1:31">
      <c r="A130" s="429"/>
      <c r="B130" s="429"/>
      <c r="C130" s="429"/>
      <c r="D130" s="429"/>
      <c r="E130" s="429"/>
      <c r="F130" s="429"/>
      <c r="G130" s="429"/>
      <c r="H130" s="429"/>
      <c r="I130" s="429"/>
      <c r="J130" s="429"/>
      <c r="K130" s="429"/>
      <c r="L130" s="429"/>
      <c r="M130" s="429"/>
      <c r="N130" s="429"/>
      <c r="O130" s="429"/>
      <c r="P130" s="429"/>
      <c r="Q130" s="429"/>
      <c r="R130" s="429"/>
      <c r="S130" s="429"/>
      <c r="T130" s="429"/>
      <c r="U130" s="429"/>
      <c r="V130" s="429"/>
      <c r="W130" s="429"/>
      <c r="X130" s="429"/>
      <c r="Y130" s="429"/>
      <c r="Z130" s="429"/>
      <c r="AA130" s="429"/>
      <c r="AB130" s="429"/>
      <c r="AC130" s="429"/>
      <c r="AD130" s="429"/>
      <c r="AE130" s="429"/>
    </row>
    <row r="131" spans="1:31">
      <c r="A131" s="429"/>
      <c r="B131" s="429"/>
      <c r="C131" s="429"/>
      <c r="D131" s="429"/>
      <c r="E131" s="429"/>
      <c r="F131" s="429"/>
      <c r="G131" s="429"/>
      <c r="H131" s="429"/>
      <c r="I131" s="429"/>
      <c r="J131" s="429"/>
      <c r="K131" s="429"/>
      <c r="L131" s="429"/>
      <c r="M131" s="429"/>
      <c r="N131" s="429"/>
      <c r="O131" s="429"/>
      <c r="P131" s="429"/>
      <c r="Q131" s="429"/>
      <c r="R131" s="429"/>
      <c r="S131" s="429"/>
      <c r="T131" s="429"/>
      <c r="U131" s="429"/>
      <c r="V131" s="429"/>
      <c r="W131" s="429"/>
      <c r="X131" s="429"/>
      <c r="Y131" s="429"/>
      <c r="Z131" s="429"/>
      <c r="AA131" s="429"/>
      <c r="AB131" s="429"/>
      <c r="AC131" s="429"/>
      <c r="AD131" s="429"/>
      <c r="AE131" s="429"/>
    </row>
    <row r="132" spans="1:31">
      <c r="A132" s="429"/>
      <c r="B132" s="429"/>
      <c r="C132" s="429"/>
      <c r="D132" s="429"/>
      <c r="E132" s="429"/>
      <c r="F132" s="429"/>
      <c r="G132" s="429"/>
      <c r="H132" s="429"/>
      <c r="I132" s="429"/>
      <c r="J132" s="429"/>
      <c r="K132" s="429"/>
      <c r="L132" s="429"/>
      <c r="M132" s="429"/>
      <c r="N132" s="429"/>
      <c r="O132" s="429"/>
      <c r="P132" s="429"/>
      <c r="Q132" s="429"/>
      <c r="R132" s="429"/>
      <c r="S132" s="429"/>
      <c r="T132" s="429"/>
      <c r="U132" s="429"/>
      <c r="V132" s="429"/>
      <c r="W132" s="429"/>
      <c r="X132" s="429"/>
      <c r="Y132" s="429"/>
      <c r="Z132" s="429"/>
      <c r="AA132" s="429"/>
      <c r="AB132" s="429"/>
      <c r="AC132" s="429"/>
      <c r="AD132" s="429"/>
      <c r="AE132" s="429"/>
    </row>
    <row r="133" spans="1:31">
      <c r="A133" s="429"/>
      <c r="B133" s="429"/>
      <c r="C133" s="429"/>
      <c r="D133" s="429"/>
      <c r="E133" s="429"/>
      <c r="F133" s="429"/>
      <c r="G133" s="429"/>
      <c r="H133" s="429"/>
      <c r="I133" s="429"/>
      <c r="J133" s="429"/>
      <c r="K133" s="429"/>
      <c r="L133" s="429"/>
      <c r="M133" s="429"/>
      <c r="N133" s="429"/>
      <c r="O133" s="429"/>
      <c r="P133" s="429"/>
      <c r="Q133" s="429"/>
      <c r="R133" s="429"/>
      <c r="S133" s="429"/>
      <c r="T133" s="429"/>
      <c r="U133" s="429"/>
      <c r="V133" s="429"/>
      <c r="W133" s="429"/>
      <c r="X133" s="429"/>
      <c r="Y133" s="429"/>
      <c r="Z133" s="429"/>
      <c r="AA133" s="429"/>
      <c r="AB133" s="429"/>
      <c r="AC133" s="429"/>
      <c r="AD133" s="429"/>
      <c r="AE133" s="429"/>
    </row>
    <row r="134" spans="1:31">
      <c r="A134" s="429"/>
      <c r="B134" s="429"/>
      <c r="C134" s="429"/>
      <c r="D134" s="429"/>
      <c r="E134" s="429"/>
      <c r="F134" s="429"/>
      <c r="G134" s="429"/>
      <c r="H134" s="429"/>
      <c r="I134" s="429"/>
      <c r="J134" s="429"/>
      <c r="K134" s="429"/>
      <c r="L134" s="429"/>
      <c r="M134" s="429"/>
      <c r="N134" s="429"/>
      <c r="O134" s="429"/>
      <c r="P134" s="429"/>
      <c r="Q134" s="429"/>
      <c r="R134" s="429"/>
      <c r="S134" s="429"/>
      <c r="T134" s="429"/>
      <c r="U134" s="429"/>
      <c r="V134" s="429"/>
      <c r="W134" s="429"/>
      <c r="X134" s="429"/>
      <c r="Y134" s="429"/>
      <c r="Z134" s="429"/>
      <c r="AA134" s="429"/>
      <c r="AB134" s="429"/>
      <c r="AC134" s="429"/>
      <c r="AD134" s="429"/>
      <c r="AE134" s="429"/>
    </row>
    <row r="135" spans="1:31">
      <c r="A135" s="429"/>
      <c r="B135" s="429"/>
      <c r="C135" s="429"/>
      <c r="D135" s="429"/>
      <c r="E135" s="429"/>
      <c r="F135" s="429"/>
      <c r="G135" s="429"/>
      <c r="H135" s="429"/>
      <c r="I135" s="429"/>
      <c r="J135" s="429"/>
      <c r="K135" s="429"/>
      <c r="L135" s="429"/>
      <c r="M135" s="429"/>
      <c r="N135" s="429"/>
      <c r="O135" s="429"/>
      <c r="P135" s="429"/>
      <c r="Q135" s="429"/>
      <c r="R135" s="429"/>
      <c r="S135" s="429"/>
      <c r="T135" s="429"/>
      <c r="U135" s="429"/>
      <c r="V135" s="429"/>
      <c r="W135" s="429"/>
      <c r="X135" s="429"/>
      <c r="Y135" s="429"/>
      <c r="Z135" s="429"/>
      <c r="AA135" s="429"/>
      <c r="AB135" s="429"/>
      <c r="AC135" s="429"/>
      <c r="AD135" s="429"/>
      <c r="AE135" s="429"/>
    </row>
    <row r="136" spans="1:31">
      <c r="A136" s="429"/>
      <c r="B136" s="429"/>
      <c r="C136" s="429"/>
      <c r="D136" s="429"/>
      <c r="E136" s="429"/>
      <c r="F136" s="429"/>
      <c r="G136" s="429"/>
      <c r="H136" s="429"/>
      <c r="I136" s="429"/>
      <c r="J136" s="429"/>
      <c r="K136" s="429"/>
      <c r="L136" s="429"/>
      <c r="M136" s="429"/>
      <c r="N136" s="429"/>
      <c r="O136" s="429"/>
      <c r="P136" s="429"/>
      <c r="Q136" s="429"/>
      <c r="R136" s="429"/>
      <c r="S136" s="429"/>
      <c r="T136" s="429"/>
      <c r="U136" s="429"/>
      <c r="V136" s="429"/>
      <c r="W136" s="429"/>
      <c r="X136" s="429"/>
      <c r="Y136" s="429"/>
      <c r="Z136" s="429"/>
      <c r="AA136" s="429"/>
      <c r="AB136" s="429"/>
      <c r="AC136" s="429"/>
      <c r="AD136" s="429"/>
      <c r="AE136" s="429"/>
    </row>
    <row r="137" spans="1:31">
      <c r="A137" s="429"/>
      <c r="B137" s="429"/>
      <c r="C137" s="429"/>
      <c r="D137" s="429"/>
      <c r="E137" s="429"/>
      <c r="F137" s="429"/>
      <c r="G137" s="429"/>
      <c r="H137" s="429"/>
      <c r="I137" s="429"/>
      <c r="J137" s="429"/>
      <c r="K137" s="429"/>
      <c r="L137" s="429"/>
      <c r="M137" s="429"/>
      <c r="N137" s="429"/>
      <c r="O137" s="429"/>
      <c r="P137" s="429"/>
      <c r="Q137" s="429"/>
      <c r="R137" s="429"/>
      <c r="S137" s="429"/>
      <c r="T137" s="429"/>
      <c r="U137" s="429"/>
      <c r="V137" s="429"/>
      <c r="W137" s="429"/>
      <c r="X137" s="429"/>
      <c r="Y137" s="429"/>
      <c r="Z137" s="429"/>
      <c r="AA137" s="429"/>
      <c r="AB137" s="429"/>
      <c r="AC137" s="429"/>
      <c r="AD137" s="429"/>
      <c r="AE137" s="429"/>
    </row>
    <row r="138" spans="1:31">
      <c r="A138" s="429"/>
      <c r="B138" s="429"/>
      <c r="C138" s="429"/>
      <c r="D138" s="429"/>
      <c r="E138" s="429"/>
      <c r="F138" s="429"/>
      <c r="G138" s="429"/>
      <c r="H138" s="429"/>
      <c r="I138" s="429"/>
      <c r="J138" s="429"/>
      <c r="K138" s="429"/>
      <c r="L138" s="429"/>
      <c r="M138" s="429"/>
      <c r="N138" s="429"/>
      <c r="O138" s="429"/>
      <c r="P138" s="429"/>
      <c r="Q138" s="429"/>
      <c r="R138" s="429"/>
      <c r="S138" s="429"/>
      <c r="T138" s="429"/>
      <c r="U138" s="429"/>
      <c r="V138" s="429"/>
      <c r="W138" s="429"/>
      <c r="X138" s="429"/>
      <c r="Y138" s="429"/>
      <c r="Z138" s="429"/>
      <c r="AA138" s="429"/>
      <c r="AB138" s="429"/>
      <c r="AC138" s="429"/>
      <c r="AD138" s="429"/>
      <c r="AE138" s="429"/>
    </row>
    <row r="139" spans="1:31">
      <c r="A139" s="429"/>
      <c r="B139" s="429"/>
      <c r="C139" s="429"/>
      <c r="D139" s="429"/>
      <c r="E139" s="429"/>
      <c r="F139" s="429"/>
      <c r="G139" s="429"/>
      <c r="H139" s="429"/>
      <c r="I139" s="429"/>
      <c r="J139" s="429"/>
      <c r="K139" s="429"/>
      <c r="L139" s="429"/>
      <c r="M139" s="429"/>
      <c r="N139" s="429"/>
      <c r="O139" s="429"/>
      <c r="P139" s="429"/>
      <c r="Q139" s="429"/>
      <c r="R139" s="429"/>
      <c r="S139" s="429"/>
      <c r="T139" s="429"/>
      <c r="U139" s="429"/>
      <c r="V139" s="429"/>
      <c r="W139" s="429"/>
      <c r="X139" s="429"/>
      <c r="Y139" s="429"/>
      <c r="Z139" s="429"/>
      <c r="AA139" s="429"/>
      <c r="AB139" s="429"/>
      <c r="AC139" s="429"/>
      <c r="AD139" s="429"/>
      <c r="AE139" s="429"/>
    </row>
    <row r="140" spans="1:31">
      <c r="A140" s="429"/>
      <c r="B140" s="429"/>
      <c r="C140" s="429"/>
      <c r="D140" s="429"/>
      <c r="E140" s="429"/>
      <c r="F140" s="429"/>
      <c r="G140" s="429"/>
      <c r="H140" s="429"/>
      <c r="I140" s="429"/>
      <c r="J140" s="429"/>
      <c r="K140" s="429"/>
      <c r="L140" s="429"/>
      <c r="M140" s="429"/>
      <c r="N140" s="429"/>
      <c r="O140" s="429"/>
      <c r="P140" s="429"/>
      <c r="Q140" s="429"/>
      <c r="R140" s="429"/>
      <c r="S140" s="429"/>
      <c r="T140" s="429"/>
      <c r="U140" s="429"/>
      <c r="V140" s="429"/>
      <c r="W140" s="429"/>
      <c r="X140" s="429"/>
      <c r="Y140" s="429"/>
      <c r="Z140" s="429"/>
      <c r="AA140" s="429"/>
      <c r="AB140" s="429"/>
      <c r="AC140" s="429"/>
      <c r="AD140" s="429"/>
      <c r="AE140" s="429"/>
    </row>
    <row r="141" spans="1:31">
      <c r="A141" s="429"/>
      <c r="B141" s="429"/>
      <c r="C141" s="429"/>
      <c r="D141" s="429"/>
      <c r="E141" s="429"/>
      <c r="F141" s="429"/>
      <c r="G141" s="429"/>
      <c r="H141" s="429"/>
      <c r="I141" s="429"/>
      <c r="J141" s="429"/>
      <c r="K141" s="429"/>
      <c r="L141" s="429"/>
      <c r="M141" s="429"/>
      <c r="N141" s="429"/>
      <c r="O141" s="429"/>
      <c r="P141" s="429"/>
      <c r="Q141" s="429"/>
      <c r="R141" s="429"/>
      <c r="S141" s="429"/>
      <c r="T141" s="429"/>
      <c r="U141" s="429"/>
      <c r="V141" s="429"/>
      <c r="W141" s="429"/>
      <c r="X141" s="429"/>
      <c r="Y141" s="429"/>
      <c r="Z141" s="429"/>
      <c r="AA141" s="429"/>
      <c r="AB141" s="429"/>
      <c r="AC141" s="429"/>
      <c r="AD141" s="429"/>
      <c r="AE141" s="429"/>
    </row>
    <row r="142" spans="1:31">
      <c r="A142" s="429"/>
      <c r="B142" s="429"/>
      <c r="C142" s="429"/>
      <c r="D142" s="429"/>
      <c r="E142" s="429"/>
      <c r="F142" s="429"/>
      <c r="G142" s="429"/>
      <c r="H142" s="429"/>
      <c r="I142" s="429"/>
      <c r="J142" s="429"/>
      <c r="K142" s="429"/>
      <c r="L142" s="429"/>
      <c r="M142" s="429"/>
      <c r="N142" s="429"/>
      <c r="O142" s="429"/>
      <c r="P142" s="429"/>
      <c r="Q142" s="429"/>
      <c r="R142" s="429"/>
      <c r="S142" s="429"/>
      <c r="T142" s="429"/>
      <c r="U142" s="429"/>
      <c r="V142" s="429"/>
      <c r="W142" s="429"/>
      <c r="X142" s="429"/>
      <c r="Y142" s="429"/>
      <c r="Z142" s="429"/>
      <c r="AA142" s="429"/>
      <c r="AB142" s="429"/>
      <c r="AC142" s="429"/>
      <c r="AD142" s="429"/>
      <c r="AE142" s="429"/>
    </row>
    <row r="143" spans="1:31">
      <c r="A143" s="429"/>
      <c r="B143" s="429"/>
      <c r="C143" s="429"/>
      <c r="D143" s="429"/>
      <c r="E143" s="429"/>
      <c r="F143" s="429"/>
      <c r="G143" s="429"/>
      <c r="H143" s="429"/>
      <c r="I143" s="429"/>
      <c r="J143" s="429"/>
      <c r="K143" s="429"/>
      <c r="L143" s="429"/>
      <c r="M143" s="429"/>
      <c r="N143" s="429"/>
      <c r="O143" s="429"/>
      <c r="P143" s="429"/>
      <c r="Q143" s="429"/>
      <c r="R143" s="429"/>
      <c r="S143" s="429"/>
      <c r="T143" s="429"/>
      <c r="U143" s="429"/>
      <c r="V143" s="429"/>
      <c r="W143" s="429"/>
      <c r="X143" s="429"/>
      <c r="Y143" s="429"/>
      <c r="Z143" s="429"/>
      <c r="AA143" s="429"/>
      <c r="AB143" s="429"/>
      <c r="AC143" s="429"/>
      <c r="AD143" s="429"/>
      <c r="AE143" s="429"/>
    </row>
    <row r="144" spans="1:31">
      <c r="A144" s="429"/>
      <c r="B144" s="429"/>
      <c r="C144" s="429"/>
      <c r="D144" s="429"/>
      <c r="E144" s="429"/>
      <c r="F144" s="429"/>
      <c r="G144" s="429"/>
      <c r="H144" s="429"/>
      <c r="I144" s="429"/>
      <c r="J144" s="429"/>
      <c r="K144" s="429"/>
      <c r="L144" s="429"/>
      <c r="M144" s="429"/>
      <c r="N144" s="429"/>
      <c r="O144" s="429"/>
      <c r="P144" s="429"/>
      <c r="Q144" s="429"/>
      <c r="R144" s="429"/>
      <c r="S144" s="429"/>
      <c r="T144" s="429"/>
      <c r="U144" s="429"/>
      <c r="V144" s="429"/>
      <c r="W144" s="429"/>
      <c r="X144" s="429"/>
      <c r="Y144" s="429"/>
      <c r="Z144" s="429"/>
      <c r="AA144" s="429"/>
      <c r="AB144" s="429"/>
      <c r="AC144" s="429"/>
      <c r="AD144" s="429"/>
      <c r="AE144" s="429"/>
    </row>
    <row r="145" spans="1:31">
      <c r="A145" s="429"/>
      <c r="B145" s="429"/>
      <c r="C145" s="429"/>
      <c r="D145" s="429"/>
      <c r="E145" s="429"/>
      <c r="F145" s="429"/>
      <c r="G145" s="429"/>
      <c r="H145" s="429"/>
      <c r="I145" s="429"/>
      <c r="J145" s="429"/>
      <c r="K145" s="429"/>
      <c r="L145" s="429"/>
      <c r="M145" s="429"/>
      <c r="N145" s="429"/>
      <c r="O145" s="429"/>
      <c r="P145" s="429"/>
      <c r="Q145" s="429"/>
      <c r="R145" s="429"/>
      <c r="S145" s="429"/>
      <c r="T145" s="429"/>
      <c r="U145" s="429"/>
      <c r="V145" s="429"/>
      <c r="W145" s="429"/>
      <c r="X145" s="429"/>
      <c r="Y145" s="429"/>
      <c r="Z145" s="429"/>
      <c r="AA145" s="429"/>
      <c r="AB145" s="429"/>
      <c r="AC145" s="429"/>
      <c r="AD145" s="429"/>
      <c r="AE145" s="429"/>
    </row>
    <row r="146" spans="1:31">
      <c r="A146" s="429"/>
      <c r="B146" s="429"/>
      <c r="C146" s="429"/>
      <c r="D146" s="429"/>
      <c r="E146" s="429"/>
      <c r="F146" s="429"/>
      <c r="G146" s="429"/>
      <c r="H146" s="429"/>
      <c r="I146" s="429"/>
      <c r="J146" s="429"/>
      <c r="K146" s="429"/>
      <c r="L146" s="429"/>
      <c r="M146" s="429"/>
      <c r="N146" s="429"/>
      <c r="O146" s="429"/>
      <c r="P146" s="429"/>
      <c r="Q146" s="429"/>
      <c r="R146" s="429"/>
      <c r="S146" s="429"/>
      <c r="T146" s="429"/>
      <c r="U146" s="429"/>
      <c r="V146" s="429"/>
      <c r="W146" s="429"/>
      <c r="X146" s="429"/>
      <c r="Y146" s="429"/>
      <c r="Z146" s="429"/>
      <c r="AA146" s="429"/>
      <c r="AB146" s="429"/>
      <c r="AC146" s="429"/>
      <c r="AD146" s="429"/>
      <c r="AE146" s="429"/>
    </row>
    <row r="147" spans="1:31">
      <c r="A147" s="429"/>
      <c r="B147" s="429"/>
      <c r="C147" s="429"/>
      <c r="D147" s="429"/>
      <c r="E147" s="429"/>
      <c r="F147" s="429"/>
      <c r="G147" s="429"/>
      <c r="H147" s="429"/>
      <c r="I147" s="429"/>
      <c r="J147" s="429"/>
      <c r="K147" s="429"/>
      <c r="L147" s="429"/>
      <c r="M147" s="429"/>
      <c r="N147" s="429"/>
      <c r="O147" s="429"/>
      <c r="P147" s="429"/>
      <c r="Q147" s="429"/>
      <c r="R147" s="429"/>
      <c r="S147" s="429"/>
      <c r="T147" s="429"/>
      <c r="U147" s="429"/>
      <c r="V147" s="429"/>
      <c r="W147" s="429"/>
      <c r="X147" s="429"/>
      <c r="Y147" s="429"/>
      <c r="Z147" s="429"/>
      <c r="AA147" s="429"/>
      <c r="AB147" s="429"/>
      <c r="AC147" s="429"/>
      <c r="AD147" s="429"/>
      <c r="AE147" s="429"/>
    </row>
    <row r="148" spans="1:31">
      <c r="A148" s="429"/>
      <c r="B148" s="429"/>
      <c r="C148" s="429"/>
      <c r="D148" s="429"/>
      <c r="E148" s="429"/>
      <c r="F148" s="429"/>
      <c r="G148" s="429"/>
      <c r="H148" s="429"/>
      <c r="I148" s="429"/>
      <c r="J148" s="429"/>
      <c r="K148" s="429"/>
      <c r="L148" s="429"/>
      <c r="M148" s="429"/>
      <c r="N148" s="429"/>
      <c r="O148" s="429"/>
      <c r="P148" s="429"/>
      <c r="Q148" s="429"/>
      <c r="R148" s="429"/>
      <c r="S148" s="429"/>
      <c r="T148" s="429"/>
      <c r="U148" s="429"/>
      <c r="V148" s="429"/>
      <c r="W148" s="429"/>
      <c r="X148" s="429"/>
      <c r="Y148" s="429"/>
      <c r="Z148" s="429"/>
      <c r="AA148" s="429"/>
      <c r="AB148" s="429"/>
      <c r="AC148" s="429"/>
      <c r="AD148" s="429"/>
      <c r="AE148" s="429"/>
    </row>
    <row r="149" spans="1:31">
      <c r="A149" s="429"/>
      <c r="B149" s="429"/>
      <c r="C149" s="429"/>
      <c r="D149" s="429"/>
      <c r="E149" s="429"/>
      <c r="F149" s="429"/>
      <c r="G149" s="429"/>
      <c r="H149" s="429"/>
      <c r="I149" s="429"/>
      <c r="J149" s="429"/>
      <c r="K149" s="429"/>
      <c r="L149" s="429"/>
      <c r="M149" s="429"/>
      <c r="N149" s="429"/>
      <c r="O149" s="429"/>
      <c r="P149" s="429"/>
      <c r="Q149" s="429"/>
      <c r="R149" s="429"/>
      <c r="S149" s="429"/>
      <c r="T149" s="429"/>
      <c r="U149" s="429"/>
      <c r="V149" s="429"/>
      <c r="W149" s="429"/>
      <c r="X149" s="429"/>
      <c r="Y149" s="429"/>
      <c r="Z149" s="429"/>
      <c r="AA149" s="429"/>
      <c r="AB149" s="429"/>
      <c r="AC149" s="429"/>
      <c r="AD149" s="429"/>
      <c r="AE149" s="429"/>
    </row>
    <row r="150" spans="1:31">
      <c r="A150" s="429"/>
      <c r="B150" s="429"/>
      <c r="C150" s="429"/>
      <c r="D150" s="429"/>
      <c r="E150" s="429"/>
      <c r="F150" s="429"/>
      <c r="G150" s="429"/>
      <c r="H150" s="429"/>
      <c r="I150" s="429"/>
      <c r="J150" s="429"/>
      <c r="K150" s="429"/>
      <c r="L150" s="429"/>
      <c r="M150" s="429"/>
      <c r="N150" s="429"/>
      <c r="O150" s="429"/>
      <c r="P150" s="429"/>
      <c r="Q150" s="429"/>
      <c r="R150" s="429"/>
      <c r="S150" s="429"/>
      <c r="T150" s="429"/>
      <c r="U150" s="429"/>
      <c r="V150" s="429"/>
      <c r="W150" s="429"/>
      <c r="X150" s="429"/>
      <c r="Y150" s="429"/>
      <c r="Z150" s="429"/>
      <c r="AA150" s="429"/>
      <c r="AB150" s="429"/>
      <c r="AC150" s="429"/>
      <c r="AD150" s="429"/>
      <c r="AE150" s="429"/>
    </row>
    <row r="151" spans="1:31">
      <c r="A151" s="429"/>
      <c r="B151" s="429"/>
      <c r="C151" s="429"/>
      <c r="D151" s="429"/>
      <c r="E151" s="429"/>
      <c r="F151" s="429"/>
      <c r="G151" s="429"/>
      <c r="H151" s="429"/>
      <c r="I151" s="429"/>
      <c r="J151" s="429"/>
      <c r="K151" s="429"/>
      <c r="L151" s="429"/>
      <c r="M151" s="429"/>
      <c r="N151" s="429"/>
      <c r="O151" s="429"/>
      <c r="P151" s="429"/>
      <c r="Q151" s="429"/>
      <c r="R151" s="429"/>
      <c r="S151" s="429"/>
      <c r="T151" s="429"/>
      <c r="U151" s="429"/>
      <c r="V151" s="429"/>
      <c r="W151" s="429"/>
      <c r="X151" s="429"/>
      <c r="Y151" s="429"/>
      <c r="Z151" s="429"/>
      <c r="AA151" s="429"/>
      <c r="AB151" s="429"/>
      <c r="AC151" s="429"/>
      <c r="AD151" s="429"/>
      <c r="AE151" s="429"/>
    </row>
    <row r="152" spans="1:31">
      <c r="A152" s="429"/>
      <c r="B152" s="429"/>
      <c r="C152" s="429"/>
      <c r="D152" s="429"/>
      <c r="E152" s="429"/>
      <c r="F152" s="429"/>
      <c r="G152" s="429"/>
      <c r="H152" s="429"/>
      <c r="I152" s="429"/>
      <c r="J152" s="429"/>
      <c r="K152" s="429"/>
      <c r="L152" s="429"/>
      <c r="M152" s="429"/>
      <c r="N152" s="429"/>
      <c r="O152" s="429"/>
      <c r="P152" s="429"/>
      <c r="Q152" s="429"/>
      <c r="R152" s="429"/>
      <c r="S152" s="429"/>
      <c r="T152" s="429"/>
      <c r="U152" s="429"/>
      <c r="V152" s="429"/>
      <c r="W152" s="429"/>
      <c r="X152" s="429"/>
      <c r="Y152" s="429"/>
      <c r="Z152" s="429"/>
      <c r="AA152" s="429"/>
      <c r="AB152" s="429"/>
      <c r="AC152" s="429"/>
      <c r="AD152" s="429"/>
      <c r="AE152" s="429"/>
    </row>
    <row r="153" spans="1:31">
      <c r="A153" s="429"/>
      <c r="B153" s="429"/>
      <c r="C153" s="429"/>
      <c r="D153" s="429"/>
      <c r="E153" s="429"/>
      <c r="F153" s="429"/>
      <c r="G153" s="429"/>
      <c r="H153" s="429"/>
      <c r="I153" s="429"/>
      <c r="J153" s="429"/>
      <c r="K153" s="429"/>
      <c r="L153" s="429"/>
      <c r="M153" s="429"/>
      <c r="N153" s="429"/>
      <c r="O153" s="429"/>
      <c r="P153" s="429"/>
      <c r="Q153" s="429"/>
      <c r="R153" s="429"/>
      <c r="S153" s="429"/>
      <c r="T153" s="429"/>
      <c r="U153" s="429"/>
      <c r="V153" s="429"/>
      <c r="W153" s="429"/>
      <c r="X153" s="429"/>
      <c r="Y153" s="429"/>
      <c r="Z153" s="429"/>
      <c r="AA153" s="429"/>
      <c r="AB153" s="429"/>
      <c r="AC153" s="429"/>
      <c r="AD153" s="429"/>
      <c r="AE153" s="429"/>
    </row>
    <row r="154" spans="1:31">
      <c r="A154" s="429"/>
      <c r="B154" s="429"/>
      <c r="C154" s="429"/>
      <c r="D154" s="429"/>
      <c r="E154" s="429"/>
      <c r="F154" s="429"/>
      <c r="G154" s="429"/>
      <c r="H154" s="429"/>
      <c r="I154" s="429"/>
      <c r="J154" s="429"/>
      <c r="K154" s="429"/>
      <c r="L154" s="429"/>
      <c r="M154" s="429"/>
      <c r="N154" s="429"/>
      <c r="O154" s="429"/>
      <c r="P154" s="429"/>
      <c r="Q154" s="429"/>
      <c r="R154" s="429"/>
      <c r="S154" s="429"/>
      <c r="T154" s="429"/>
      <c r="U154" s="429"/>
      <c r="V154" s="429"/>
      <c r="W154" s="429"/>
      <c r="X154" s="429"/>
      <c r="Y154" s="429"/>
      <c r="Z154" s="429"/>
      <c r="AA154" s="429"/>
      <c r="AB154" s="429"/>
      <c r="AC154" s="429"/>
      <c r="AD154" s="429"/>
      <c r="AE154" s="429"/>
    </row>
    <row r="155" spans="1:31">
      <c r="A155" s="429"/>
      <c r="B155" s="429"/>
      <c r="C155" s="429"/>
      <c r="D155" s="429"/>
      <c r="E155" s="429"/>
      <c r="F155" s="429"/>
      <c r="G155" s="429"/>
      <c r="H155" s="429"/>
      <c r="I155" s="429"/>
      <c r="J155" s="429"/>
      <c r="K155" s="429"/>
      <c r="L155" s="429"/>
      <c r="M155" s="429"/>
      <c r="N155" s="429"/>
      <c r="O155" s="429"/>
      <c r="P155" s="429"/>
      <c r="Q155" s="429"/>
      <c r="R155" s="429"/>
      <c r="S155" s="429"/>
      <c r="T155" s="429"/>
      <c r="U155" s="429"/>
      <c r="V155" s="429"/>
      <c r="W155" s="429"/>
      <c r="X155" s="429"/>
      <c r="Y155" s="429"/>
      <c r="Z155" s="429"/>
      <c r="AA155" s="429"/>
      <c r="AB155" s="429"/>
      <c r="AC155" s="429"/>
      <c r="AD155" s="429"/>
      <c r="AE155" s="429"/>
    </row>
    <row r="156" spans="1:31">
      <c r="A156" s="429"/>
      <c r="B156" s="429"/>
      <c r="C156" s="429"/>
      <c r="D156" s="429"/>
      <c r="E156" s="429"/>
      <c r="F156" s="429"/>
      <c r="G156" s="429"/>
      <c r="H156" s="429"/>
      <c r="I156" s="429"/>
      <c r="J156" s="429"/>
      <c r="K156" s="429"/>
      <c r="L156" s="429"/>
      <c r="M156" s="429"/>
      <c r="N156" s="429"/>
      <c r="O156" s="429"/>
      <c r="P156" s="429"/>
      <c r="Q156" s="429"/>
      <c r="R156" s="429"/>
      <c r="S156" s="429"/>
      <c r="T156" s="429"/>
      <c r="U156" s="429"/>
      <c r="V156" s="429"/>
      <c r="W156" s="429"/>
      <c r="X156" s="429"/>
      <c r="Y156" s="429"/>
      <c r="Z156" s="429"/>
      <c r="AA156" s="429"/>
      <c r="AB156" s="429"/>
      <c r="AC156" s="429"/>
      <c r="AD156" s="429"/>
      <c r="AE156" s="429"/>
    </row>
    <row r="157" spans="1:31">
      <c r="A157" s="429"/>
      <c r="B157" s="429"/>
      <c r="C157" s="429"/>
      <c r="D157" s="429"/>
      <c r="E157" s="429"/>
      <c r="F157" s="429"/>
      <c r="G157" s="429"/>
      <c r="H157" s="429"/>
      <c r="I157" s="429"/>
      <c r="J157" s="429"/>
      <c r="K157" s="429"/>
      <c r="L157" s="429"/>
      <c r="M157" s="429"/>
      <c r="N157" s="429"/>
      <c r="O157" s="429"/>
      <c r="P157" s="429"/>
      <c r="Q157" s="429"/>
      <c r="R157" s="429"/>
      <c r="S157" s="429"/>
      <c r="T157" s="429"/>
      <c r="U157" s="429"/>
      <c r="V157" s="429"/>
      <c r="W157" s="429"/>
      <c r="X157" s="429"/>
      <c r="Y157" s="429"/>
      <c r="Z157" s="429"/>
      <c r="AA157" s="429"/>
      <c r="AB157" s="429"/>
      <c r="AC157" s="429"/>
      <c r="AD157" s="429"/>
      <c r="AE157" s="429"/>
    </row>
    <row r="158" spans="1:31">
      <c r="A158" s="429"/>
      <c r="B158" s="429"/>
      <c r="C158" s="429"/>
      <c r="D158" s="429"/>
      <c r="E158" s="429"/>
      <c r="F158" s="429"/>
      <c r="G158" s="429"/>
      <c r="H158" s="429"/>
      <c r="I158" s="429"/>
      <c r="J158" s="429"/>
      <c r="K158" s="429"/>
      <c r="L158" s="429"/>
      <c r="M158" s="429"/>
      <c r="N158" s="429"/>
      <c r="O158" s="429"/>
      <c r="P158" s="429"/>
      <c r="Q158" s="429"/>
      <c r="R158" s="429"/>
      <c r="S158" s="429"/>
      <c r="T158" s="429"/>
      <c r="U158" s="429"/>
      <c r="V158" s="429"/>
      <c r="W158" s="429"/>
      <c r="X158" s="429"/>
      <c r="Y158" s="429"/>
      <c r="Z158" s="429"/>
      <c r="AA158" s="429"/>
      <c r="AB158" s="429"/>
      <c r="AC158" s="429"/>
      <c r="AD158" s="429"/>
      <c r="AE158" s="429"/>
    </row>
    <row r="159" spans="1:31">
      <c r="A159" s="429"/>
      <c r="B159" s="429"/>
      <c r="C159" s="429"/>
      <c r="D159" s="429"/>
      <c r="E159" s="429"/>
      <c r="F159" s="429"/>
      <c r="G159" s="429"/>
      <c r="H159" s="429"/>
      <c r="I159" s="429"/>
      <c r="J159" s="429"/>
      <c r="K159" s="429"/>
      <c r="L159" s="429"/>
      <c r="M159" s="429"/>
      <c r="N159" s="429"/>
      <c r="O159" s="429"/>
      <c r="P159" s="429"/>
      <c r="Q159" s="429"/>
      <c r="R159" s="429"/>
      <c r="S159" s="429"/>
      <c r="T159" s="429"/>
      <c r="U159" s="429"/>
      <c r="V159" s="429"/>
      <c r="W159" s="429"/>
      <c r="X159" s="429"/>
      <c r="Y159" s="429"/>
      <c r="Z159" s="429"/>
      <c r="AA159" s="429"/>
      <c r="AB159" s="429"/>
      <c r="AC159" s="429"/>
      <c r="AD159" s="429"/>
      <c r="AE159" s="429"/>
    </row>
    <row r="160" spans="1:31">
      <c r="A160" s="429"/>
      <c r="B160" s="429"/>
      <c r="C160" s="429"/>
      <c r="D160" s="429"/>
      <c r="E160" s="429"/>
      <c r="F160" s="429"/>
      <c r="G160" s="429"/>
      <c r="H160" s="429"/>
      <c r="I160" s="429"/>
      <c r="J160" s="429"/>
      <c r="K160" s="429"/>
      <c r="L160" s="429"/>
      <c r="M160" s="429"/>
      <c r="N160" s="429"/>
      <c r="O160" s="429"/>
      <c r="P160" s="429"/>
      <c r="Q160" s="429"/>
      <c r="R160" s="429"/>
      <c r="S160" s="429"/>
      <c r="T160" s="429"/>
      <c r="U160" s="429"/>
      <c r="V160" s="429"/>
      <c r="W160" s="429"/>
      <c r="X160" s="429"/>
      <c r="Y160" s="429"/>
      <c r="Z160" s="429"/>
      <c r="AA160" s="429"/>
      <c r="AB160" s="429"/>
      <c r="AC160" s="429"/>
      <c r="AD160" s="429"/>
      <c r="AE160" s="429"/>
    </row>
    <row r="161" spans="1:31">
      <c r="A161" s="429"/>
      <c r="B161" s="429"/>
      <c r="C161" s="429"/>
      <c r="D161" s="429"/>
      <c r="E161" s="429"/>
      <c r="F161" s="429"/>
      <c r="G161" s="429"/>
      <c r="H161" s="429"/>
      <c r="I161" s="429"/>
      <c r="J161" s="429"/>
      <c r="K161" s="429"/>
      <c r="L161" s="429"/>
      <c r="M161" s="429"/>
      <c r="N161" s="429"/>
      <c r="O161" s="429"/>
      <c r="P161" s="429"/>
      <c r="Q161" s="429"/>
      <c r="R161" s="429"/>
      <c r="S161" s="429"/>
      <c r="T161" s="429"/>
      <c r="U161" s="429"/>
      <c r="V161" s="429"/>
      <c r="W161" s="429"/>
      <c r="X161" s="429"/>
      <c r="Y161" s="429"/>
      <c r="Z161" s="429"/>
      <c r="AA161" s="429"/>
      <c r="AB161" s="429"/>
      <c r="AC161" s="429"/>
      <c r="AD161" s="429"/>
      <c r="AE161" s="429"/>
    </row>
    <row r="162" spans="1:31">
      <c r="A162" s="429"/>
      <c r="B162" s="429"/>
      <c r="C162" s="429"/>
      <c r="D162" s="429"/>
      <c r="E162" s="429"/>
      <c r="F162" s="429"/>
      <c r="G162" s="429"/>
      <c r="H162" s="429"/>
      <c r="I162" s="429"/>
      <c r="J162" s="429"/>
      <c r="K162" s="429"/>
      <c r="L162" s="429"/>
      <c r="M162" s="429"/>
      <c r="N162" s="429"/>
      <c r="O162" s="429"/>
      <c r="P162" s="429"/>
      <c r="Q162" s="429"/>
      <c r="R162" s="429"/>
      <c r="S162" s="429"/>
      <c r="T162" s="429"/>
      <c r="U162" s="429"/>
      <c r="V162" s="429"/>
      <c r="W162" s="429"/>
      <c r="X162" s="429"/>
      <c r="Y162" s="429"/>
      <c r="Z162" s="429"/>
      <c r="AA162" s="429"/>
      <c r="AB162" s="429"/>
      <c r="AC162" s="429"/>
      <c r="AD162" s="429"/>
      <c r="AE162" s="429"/>
    </row>
    <row r="163" spans="1:31">
      <c r="A163" s="429"/>
      <c r="B163" s="429"/>
      <c r="C163" s="429"/>
      <c r="D163" s="429"/>
      <c r="E163" s="429"/>
      <c r="F163" s="429"/>
      <c r="G163" s="429"/>
      <c r="H163" s="429"/>
      <c r="I163" s="429"/>
      <c r="J163" s="429"/>
      <c r="K163" s="429"/>
      <c r="L163" s="429"/>
      <c r="M163" s="429"/>
      <c r="N163" s="429"/>
      <c r="O163" s="429"/>
      <c r="P163" s="429"/>
      <c r="Q163" s="429"/>
      <c r="R163" s="429"/>
      <c r="S163" s="429"/>
      <c r="T163" s="429"/>
      <c r="U163" s="429"/>
      <c r="V163" s="429"/>
      <c r="W163" s="429"/>
      <c r="X163" s="429"/>
      <c r="Y163" s="429"/>
      <c r="Z163" s="429"/>
      <c r="AA163" s="429"/>
      <c r="AB163" s="429"/>
      <c r="AC163" s="429"/>
      <c r="AD163" s="429"/>
      <c r="AE163" s="429"/>
    </row>
    <row r="164" spans="1:31">
      <c r="A164" s="429"/>
      <c r="B164" s="429"/>
      <c r="C164" s="429"/>
      <c r="D164" s="429"/>
      <c r="E164" s="429"/>
      <c r="F164" s="429"/>
      <c r="G164" s="429"/>
      <c r="H164" s="429"/>
      <c r="I164" s="429"/>
      <c r="J164" s="429"/>
      <c r="K164" s="429"/>
      <c r="L164" s="429"/>
      <c r="M164" s="429"/>
      <c r="N164" s="429"/>
      <c r="O164" s="429"/>
      <c r="P164" s="429"/>
      <c r="Q164" s="429"/>
      <c r="R164" s="429"/>
      <c r="S164" s="429"/>
      <c r="T164" s="429"/>
      <c r="U164" s="429"/>
      <c r="V164" s="429"/>
      <c r="W164" s="429"/>
      <c r="X164" s="429"/>
      <c r="Y164" s="429"/>
      <c r="Z164" s="429"/>
      <c r="AA164" s="429"/>
      <c r="AB164" s="429"/>
      <c r="AC164" s="429"/>
      <c r="AD164" s="429"/>
      <c r="AE164" s="429"/>
    </row>
    <row r="165" spans="1:31">
      <c r="A165" s="429"/>
      <c r="B165" s="429"/>
      <c r="C165" s="429"/>
      <c r="D165" s="429"/>
      <c r="E165" s="429"/>
      <c r="F165" s="429"/>
      <c r="G165" s="429"/>
      <c r="H165" s="429"/>
      <c r="I165" s="429"/>
      <c r="J165" s="429"/>
      <c r="K165" s="429"/>
      <c r="L165" s="429"/>
      <c r="M165" s="429"/>
      <c r="N165" s="429"/>
      <c r="O165" s="429"/>
      <c r="P165" s="429"/>
      <c r="Q165" s="429"/>
      <c r="R165" s="429"/>
      <c r="S165" s="429"/>
      <c r="T165" s="429"/>
      <c r="U165" s="429"/>
      <c r="V165" s="429"/>
      <c r="W165" s="429"/>
      <c r="X165" s="429"/>
      <c r="Y165" s="429"/>
      <c r="Z165" s="429"/>
      <c r="AA165" s="429"/>
      <c r="AB165" s="429"/>
      <c r="AC165" s="429"/>
      <c r="AD165" s="429"/>
      <c r="AE165" s="429"/>
    </row>
    <row r="166" spans="1:31">
      <c r="A166" s="429"/>
      <c r="B166" s="429"/>
      <c r="C166" s="429"/>
      <c r="D166" s="429"/>
      <c r="E166" s="429"/>
      <c r="F166" s="429"/>
      <c r="G166" s="429"/>
      <c r="H166" s="429"/>
      <c r="I166" s="429"/>
      <c r="J166" s="429"/>
      <c r="K166" s="429"/>
      <c r="L166" s="429"/>
      <c r="M166" s="429"/>
      <c r="N166" s="429"/>
      <c r="O166" s="429"/>
      <c r="P166" s="429"/>
      <c r="Q166" s="429"/>
      <c r="R166" s="429"/>
      <c r="S166" s="429"/>
      <c r="T166" s="429"/>
      <c r="U166" s="429"/>
      <c r="V166" s="429"/>
      <c r="W166" s="429"/>
      <c r="X166" s="429"/>
      <c r="Y166" s="429"/>
      <c r="Z166" s="429"/>
      <c r="AA166" s="429"/>
      <c r="AB166" s="429"/>
      <c r="AC166" s="429"/>
      <c r="AD166" s="429"/>
      <c r="AE166" s="429"/>
    </row>
    <row r="167" spans="1:31">
      <c r="A167" s="429"/>
      <c r="B167" s="429"/>
      <c r="C167" s="429"/>
      <c r="D167" s="429"/>
      <c r="E167" s="429"/>
      <c r="F167" s="429"/>
      <c r="G167" s="429"/>
      <c r="H167" s="429"/>
      <c r="I167" s="429"/>
      <c r="J167" s="429"/>
      <c r="K167" s="429"/>
      <c r="L167" s="429"/>
      <c r="M167" s="429"/>
      <c r="N167" s="429"/>
      <c r="O167" s="429"/>
      <c r="P167" s="429"/>
      <c r="Q167" s="429"/>
      <c r="R167" s="429"/>
      <c r="S167" s="429"/>
      <c r="T167" s="429"/>
      <c r="U167" s="429"/>
      <c r="V167" s="429"/>
      <c r="W167" s="429"/>
      <c r="X167" s="429"/>
      <c r="Y167" s="429"/>
      <c r="Z167" s="429"/>
      <c r="AA167" s="429"/>
      <c r="AB167" s="429"/>
      <c r="AC167" s="429"/>
      <c r="AD167" s="429"/>
      <c r="AE167" s="429"/>
    </row>
    <row r="168" spans="1:31">
      <c r="A168" s="429"/>
      <c r="B168" s="429"/>
      <c r="C168" s="429"/>
      <c r="D168" s="429"/>
      <c r="E168" s="429"/>
      <c r="F168" s="429"/>
      <c r="G168" s="429"/>
      <c r="H168" s="429"/>
      <c r="I168" s="429"/>
      <c r="J168" s="429"/>
      <c r="K168" s="429"/>
      <c r="L168" s="429"/>
      <c r="M168" s="429"/>
      <c r="N168" s="429"/>
      <c r="O168" s="429"/>
      <c r="P168" s="429"/>
      <c r="Q168" s="429"/>
      <c r="R168" s="429"/>
      <c r="S168" s="429"/>
      <c r="T168" s="429"/>
      <c r="U168" s="429"/>
      <c r="V168" s="429"/>
      <c r="W168" s="429"/>
      <c r="X168" s="429"/>
      <c r="Y168" s="429"/>
      <c r="Z168" s="429"/>
      <c r="AA168" s="429"/>
      <c r="AB168" s="429"/>
      <c r="AC168" s="429"/>
      <c r="AD168" s="429"/>
      <c r="AE168" s="429"/>
    </row>
    <row r="169" spans="1:31">
      <c r="A169" s="429"/>
      <c r="B169" s="429"/>
      <c r="C169" s="429"/>
      <c r="D169" s="429"/>
      <c r="E169" s="429"/>
      <c r="F169" s="429"/>
      <c r="G169" s="429"/>
      <c r="H169" s="429"/>
      <c r="I169" s="429"/>
      <c r="J169" s="429"/>
      <c r="K169" s="429"/>
      <c r="L169" s="429"/>
      <c r="M169" s="429"/>
      <c r="N169" s="429"/>
      <c r="O169" s="429"/>
      <c r="P169" s="429"/>
      <c r="Q169" s="429"/>
      <c r="R169" s="429"/>
      <c r="S169" s="429"/>
      <c r="T169" s="429"/>
      <c r="U169" s="429"/>
      <c r="V169" s="429"/>
      <c r="W169" s="429"/>
      <c r="X169" s="429"/>
      <c r="Y169" s="429"/>
      <c r="Z169" s="429"/>
      <c r="AA169" s="429"/>
      <c r="AB169" s="429"/>
      <c r="AC169" s="429"/>
      <c r="AD169" s="429"/>
      <c r="AE169" s="429"/>
    </row>
    <row r="170" spans="1:31">
      <c r="A170" s="429"/>
      <c r="B170" s="429"/>
      <c r="C170" s="429"/>
      <c r="D170" s="429"/>
      <c r="E170" s="429"/>
      <c r="F170" s="429"/>
      <c r="G170" s="429"/>
      <c r="H170" s="429"/>
      <c r="I170" s="429"/>
      <c r="J170" s="429"/>
      <c r="K170" s="429"/>
      <c r="L170" s="429"/>
      <c r="M170" s="429"/>
      <c r="N170" s="429"/>
      <c r="O170" s="429"/>
      <c r="P170" s="429"/>
      <c r="Q170" s="429"/>
      <c r="R170" s="429"/>
      <c r="S170" s="429"/>
      <c r="T170" s="429"/>
      <c r="U170" s="429"/>
      <c r="V170" s="429"/>
      <c r="W170" s="429"/>
      <c r="X170" s="429"/>
      <c r="Y170" s="429"/>
      <c r="Z170" s="429"/>
      <c r="AA170" s="429"/>
      <c r="AB170" s="429"/>
      <c r="AC170" s="429"/>
      <c r="AD170" s="429"/>
      <c r="AE170" s="429"/>
    </row>
    <row r="171" spans="1:31">
      <c r="A171" s="429"/>
      <c r="B171" s="429"/>
      <c r="C171" s="429"/>
      <c r="D171" s="429"/>
      <c r="E171" s="429"/>
      <c r="F171" s="429"/>
      <c r="G171" s="429"/>
      <c r="H171" s="429"/>
      <c r="I171" s="429"/>
      <c r="J171" s="429"/>
      <c r="K171" s="429"/>
      <c r="L171" s="429"/>
      <c r="M171" s="429"/>
      <c r="N171" s="429"/>
      <c r="O171" s="429"/>
      <c r="P171" s="429"/>
      <c r="Q171" s="429"/>
      <c r="R171" s="429"/>
      <c r="S171" s="429"/>
      <c r="T171" s="429"/>
      <c r="U171" s="429"/>
      <c r="V171" s="429"/>
      <c r="W171" s="429"/>
      <c r="X171" s="429"/>
      <c r="Y171" s="429"/>
      <c r="Z171" s="429"/>
      <c r="AA171" s="429"/>
      <c r="AB171" s="429"/>
      <c r="AC171" s="429"/>
      <c r="AD171" s="429"/>
      <c r="AE171" s="429"/>
    </row>
    <row r="172" spans="1:31">
      <c r="A172" s="429"/>
      <c r="B172" s="429"/>
      <c r="C172" s="429"/>
      <c r="D172" s="429"/>
      <c r="E172" s="429"/>
      <c r="F172" s="429"/>
      <c r="G172" s="429"/>
      <c r="H172" s="429"/>
      <c r="I172" s="429"/>
      <c r="J172" s="429"/>
      <c r="K172" s="429"/>
      <c r="L172" s="429"/>
      <c r="M172" s="429"/>
      <c r="N172" s="429"/>
      <c r="O172" s="429"/>
      <c r="P172" s="429"/>
      <c r="Q172" s="429"/>
      <c r="R172" s="429"/>
      <c r="S172" s="429"/>
      <c r="T172" s="429"/>
      <c r="U172" s="429"/>
      <c r="V172" s="429"/>
      <c r="W172" s="429"/>
      <c r="X172" s="429"/>
      <c r="Y172" s="429"/>
      <c r="Z172" s="429"/>
      <c r="AA172" s="429"/>
      <c r="AB172" s="429"/>
      <c r="AC172" s="429"/>
      <c r="AD172" s="429"/>
      <c r="AE172" s="429"/>
    </row>
    <row r="173" spans="1:31">
      <c r="A173" s="429"/>
      <c r="B173" s="429"/>
      <c r="C173" s="429"/>
      <c r="D173" s="429"/>
      <c r="E173" s="429"/>
      <c r="F173" s="429"/>
      <c r="G173" s="429"/>
      <c r="H173" s="429"/>
      <c r="I173" s="429"/>
      <c r="J173" s="429"/>
      <c r="K173" s="429"/>
      <c r="L173" s="429"/>
      <c r="M173" s="429"/>
      <c r="N173" s="429"/>
      <c r="O173" s="429"/>
      <c r="P173" s="429"/>
      <c r="Q173" s="429"/>
      <c r="R173" s="429"/>
      <c r="S173" s="429"/>
      <c r="T173" s="429"/>
      <c r="U173" s="429"/>
      <c r="V173" s="429"/>
      <c r="W173" s="429"/>
      <c r="X173" s="429"/>
      <c r="Y173" s="429"/>
      <c r="Z173" s="429"/>
      <c r="AA173" s="429"/>
      <c r="AB173" s="429"/>
      <c r="AC173" s="429"/>
      <c r="AD173" s="429"/>
      <c r="AE173" s="429"/>
    </row>
    <row r="174" spans="1:31">
      <c r="A174" s="429"/>
      <c r="B174" s="429"/>
      <c r="C174" s="429"/>
      <c r="D174" s="429"/>
      <c r="E174" s="429"/>
      <c r="F174" s="429"/>
      <c r="G174" s="429"/>
      <c r="H174" s="429"/>
      <c r="I174" s="429"/>
      <c r="J174" s="429"/>
      <c r="K174" s="429"/>
      <c r="L174" s="429"/>
      <c r="M174" s="429"/>
      <c r="N174" s="429"/>
      <c r="O174" s="429"/>
      <c r="P174" s="429"/>
      <c r="Q174" s="429"/>
      <c r="R174" s="429"/>
      <c r="S174" s="429"/>
      <c r="T174" s="429"/>
      <c r="U174" s="429"/>
      <c r="V174" s="429"/>
      <c r="W174" s="429"/>
      <c r="X174" s="429"/>
      <c r="Y174" s="429"/>
      <c r="Z174" s="429"/>
      <c r="AA174" s="429"/>
      <c r="AB174" s="429"/>
      <c r="AC174" s="429"/>
      <c r="AD174" s="429"/>
      <c r="AE174" s="429"/>
    </row>
    <row r="175" spans="1:31">
      <c r="A175" s="429"/>
      <c r="B175" s="429"/>
      <c r="C175" s="429"/>
      <c r="D175" s="429"/>
      <c r="E175" s="429"/>
      <c r="F175" s="429"/>
      <c r="G175" s="429"/>
      <c r="H175" s="429"/>
      <c r="I175" s="429"/>
      <c r="J175" s="429"/>
      <c r="K175" s="429"/>
      <c r="L175" s="429"/>
      <c r="M175" s="429"/>
      <c r="N175" s="429"/>
      <c r="O175" s="429"/>
      <c r="P175" s="429"/>
      <c r="Q175" s="429"/>
      <c r="R175" s="429"/>
      <c r="S175" s="429"/>
      <c r="T175" s="429"/>
      <c r="U175" s="429"/>
      <c r="V175" s="429"/>
      <c r="W175" s="429"/>
      <c r="X175" s="429"/>
      <c r="Y175" s="429"/>
      <c r="Z175" s="429"/>
      <c r="AA175" s="429"/>
      <c r="AB175" s="429"/>
      <c r="AC175" s="429"/>
      <c r="AD175" s="429"/>
      <c r="AE175" s="429"/>
    </row>
    <row r="176" spans="1:31">
      <c r="A176" s="429"/>
      <c r="B176" s="429"/>
      <c r="C176" s="429"/>
      <c r="D176" s="429"/>
      <c r="E176" s="429"/>
      <c r="F176" s="429"/>
      <c r="G176" s="429"/>
      <c r="H176" s="429"/>
      <c r="I176" s="429"/>
      <c r="J176" s="429"/>
      <c r="K176" s="429"/>
      <c r="L176" s="429"/>
      <c r="M176" s="429"/>
      <c r="N176" s="429"/>
      <c r="O176" s="429"/>
      <c r="P176" s="429"/>
      <c r="Q176" s="429"/>
      <c r="R176" s="429"/>
      <c r="S176" s="429"/>
      <c r="T176" s="429"/>
      <c r="U176" s="429"/>
      <c r="V176" s="429"/>
      <c r="W176" s="429"/>
      <c r="X176" s="429"/>
      <c r="Y176" s="429"/>
      <c r="Z176" s="429"/>
      <c r="AA176" s="429"/>
      <c r="AB176" s="429"/>
      <c r="AC176" s="429"/>
      <c r="AD176" s="429"/>
      <c r="AE176" s="429"/>
    </row>
    <row r="177" spans="1:31">
      <c r="A177" s="429"/>
      <c r="B177" s="429"/>
      <c r="C177" s="429"/>
      <c r="D177" s="429"/>
      <c r="E177" s="429"/>
      <c r="F177" s="429"/>
      <c r="G177" s="429"/>
      <c r="H177" s="429"/>
      <c r="I177" s="429"/>
      <c r="J177" s="429"/>
      <c r="K177" s="429"/>
      <c r="L177" s="429"/>
      <c r="M177" s="429"/>
      <c r="N177" s="429"/>
      <c r="O177" s="429"/>
      <c r="P177" s="429"/>
      <c r="Q177" s="429"/>
      <c r="R177" s="429"/>
      <c r="S177" s="429"/>
      <c r="T177" s="429"/>
      <c r="U177" s="429"/>
      <c r="V177" s="429"/>
      <c r="W177" s="429"/>
      <c r="X177" s="429"/>
      <c r="Y177" s="429"/>
      <c r="Z177" s="429"/>
      <c r="AA177" s="429"/>
      <c r="AB177" s="429"/>
      <c r="AC177" s="429"/>
      <c r="AD177" s="429"/>
      <c r="AE177" s="429"/>
    </row>
    <row r="178" spans="1:31">
      <c r="A178" s="429"/>
      <c r="B178" s="429"/>
      <c r="C178" s="429"/>
      <c r="D178" s="429"/>
      <c r="E178" s="429"/>
      <c r="F178" s="429"/>
      <c r="G178" s="429"/>
      <c r="H178" s="429"/>
      <c r="I178" s="429"/>
      <c r="J178" s="429"/>
      <c r="K178" s="429"/>
      <c r="L178" s="429"/>
      <c r="M178" s="429"/>
      <c r="N178" s="429"/>
      <c r="O178" s="429"/>
      <c r="P178" s="429"/>
      <c r="Q178" s="429"/>
      <c r="R178" s="429"/>
      <c r="S178" s="429"/>
      <c r="T178" s="429"/>
      <c r="U178" s="429"/>
      <c r="V178" s="429"/>
      <c r="W178" s="429"/>
      <c r="X178" s="429"/>
      <c r="Y178" s="429"/>
      <c r="Z178" s="429"/>
      <c r="AA178" s="429"/>
      <c r="AB178" s="429"/>
      <c r="AC178" s="429"/>
      <c r="AD178" s="429"/>
      <c r="AE178" s="429"/>
    </row>
    <row r="179" spans="1:31">
      <c r="A179" s="429"/>
      <c r="B179" s="429"/>
      <c r="C179" s="429"/>
      <c r="D179" s="429"/>
      <c r="E179" s="429"/>
      <c r="F179" s="429"/>
      <c r="G179" s="429"/>
      <c r="H179" s="429"/>
      <c r="I179" s="429"/>
      <c r="J179" s="429"/>
      <c r="K179" s="429"/>
      <c r="L179" s="429"/>
      <c r="M179" s="429"/>
      <c r="N179" s="429"/>
      <c r="O179" s="429"/>
      <c r="P179" s="429"/>
      <c r="Q179" s="429"/>
      <c r="R179" s="429"/>
      <c r="S179" s="429"/>
      <c r="T179" s="429"/>
      <c r="U179" s="429"/>
      <c r="V179" s="429"/>
      <c r="W179" s="429"/>
      <c r="X179" s="429"/>
      <c r="Y179" s="429"/>
      <c r="Z179" s="429"/>
      <c r="AA179" s="429"/>
      <c r="AB179" s="429"/>
      <c r="AC179" s="429"/>
      <c r="AD179" s="429"/>
      <c r="AE179" s="429"/>
    </row>
    <row r="180" spans="1:31">
      <c r="A180" s="429"/>
      <c r="B180" s="429"/>
      <c r="C180" s="429"/>
      <c r="D180" s="429"/>
      <c r="E180" s="429"/>
      <c r="F180" s="429"/>
      <c r="G180" s="429"/>
      <c r="H180" s="429"/>
      <c r="I180" s="429"/>
      <c r="J180" s="429"/>
      <c r="K180" s="429"/>
      <c r="L180" s="429"/>
      <c r="M180" s="429"/>
      <c r="N180" s="429"/>
      <c r="O180" s="429"/>
      <c r="P180" s="429"/>
      <c r="Q180" s="429"/>
      <c r="R180" s="429"/>
      <c r="S180" s="429"/>
      <c r="T180" s="429"/>
      <c r="U180" s="429"/>
      <c r="V180" s="429"/>
      <c r="W180" s="429"/>
      <c r="X180" s="429"/>
      <c r="Y180" s="429"/>
      <c r="Z180" s="429"/>
      <c r="AA180" s="429"/>
      <c r="AB180" s="429"/>
      <c r="AC180" s="429"/>
      <c r="AD180" s="429"/>
      <c r="AE180" s="429"/>
    </row>
    <row r="181" spans="1:31">
      <c r="A181" s="429"/>
      <c r="B181" s="429"/>
      <c r="C181" s="429"/>
      <c r="D181" s="429"/>
      <c r="E181" s="429"/>
      <c r="F181" s="429"/>
      <c r="G181" s="429"/>
      <c r="H181" s="429"/>
      <c r="I181" s="429"/>
      <c r="J181" s="429"/>
      <c r="K181" s="429"/>
      <c r="L181" s="429"/>
      <c r="M181" s="429"/>
      <c r="N181" s="429"/>
      <c r="O181" s="429"/>
      <c r="P181" s="429"/>
      <c r="Q181" s="429"/>
      <c r="R181" s="429"/>
      <c r="S181" s="429"/>
      <c r="T181" s="429"/>
      <c r="U181" s="429"/>
      <c r="V181" s="429"/>
      <c r="W181" s="429"/>
      <c r="X181" s="429"/>
      <c r="Y181" s="429"/>
      <c r="Z181" s="429"/>
      <c r="AA181" s="429"/>
      <c r="AB181" s="429"/>
      <c r="AC181" s="429"/>
      <c r="AD181" s="429"/>
      <c r="AE181" s="429"/>
    </row>
    <row r="182" spans="1:31">
      <c r="A182" s="429"/>
      <c r="B182" s="429"/>
      <c r="C182" s="429"/>
      <c r="D182" s="429"/>
      <c r="E182" s="429"/>
      <c r="F182" s="429"/>
      <c r="G182" s="429"/>
      <c r="H182" s="429"/>
      <c r="I182" s="429"/>
      <c r="J182" s="429"/>
      <c r="K182" s="429"/>
      <c r="L182" s="429"/>
      <c r="M182" s="429"/>
      <c r="N182" s="429"/>
      <c r="O182" s="429"/>
      <c r="P182" s="429"/>
      <c r="Q182" s="429"/>
      <c r="R182" s="429"/>
      <c r="S182" s="429"/>
      <c r="T182" s="429"/>
      <c r="U182" s="429"/>
      <c r="V182" s="429"/>
      <c r="W182" s="429"/>
      <c r="X182" s="429"/>
      <c r="Y182" s="429"/>
      <c r="Z182" s="429"/>
      <c r="AA182" s="429"/>
      <c r="AB182" s="429"/>
      <c r="AC182" s="429"/>
      <c r="AD182" s="429"/>
      <c r="AE182" s="429"/>
    </row>
    <row r="183" spans="1:31">
      <c r="A183" s="429"/>
      <c r="B183" s="429"/>
      <c r="C183" s="429"/>
      <c r="D183" s="429"/>
      <c r="E183" s="429"/>
      <c r="F183" s="429"/>
      <c r="G183" s="429"/>
      <c r="H183" s="429"/>
      <c r="I183" s="429"/>
      <c r="J183" s="429"/>
      <c r="K183" s="429"/>
      <c r="L183" s="429"/>
      <c r="M183" s="429"/>
      <c r="N183" s="429"/>
      <c r="O183" s="429"/>
      <c r="P183" s="429"/>
      <c r="Q183" s="429"/>
      <c r="R183" s="429"/>
      <c r="S183" s="429"/>
      <c r="T183" s="429"/>
      <c r="U183" s="429"/>
      <c r="V183" s="429"/>
      <c r="W183" s="429"/>
      <c r="X183" s="429"/>
      <c r="Y183" s="429"/>
      <c r="Z183" s="429"/>
      <c r="AA183" s="429"/>
      <c r="AB183" s="429"/>
      <c r="AC183" s="429"/>
      <c r="AD183" s="429"/>
      <c r="AE183" s="429"/>
    </row>
    <row r="184" spans="1:31">
      <c r="A184" s="429"/>
      <c r="B184" s="429"/>
      <c r="C184" s="429"/>
      <c r="D184" s="429"/>
      <c r="E184" s="429"/>
      <c r="F184" s="429"/>
      <c r="G184" s="429"/>
      <c r="H184" s="429"/>
      <c r="I184" s="429"/>
      <c r="J184" s="429"/>
      <c r="K184" s="429"/>
      <c r="L184" s="429"/>
      <c r="M184" s="429"/>
      <c r="N184" s="429"/>
      <c r="O184" s="429"/>
      <c r="P184" s="429"/>
      <c r="Q184" s="429"/>
      <c r="R184" s="429"/>
      <c r="S184" s="429"/>
      <c r="T184" s="429"/>
      <c r="U184" s="429"/>
      <c r="V184" s="429"/>
      <c r="W184" s="429"/>
      <c r="X184" s="429"/>
      <c r="Y184" s="429"/>
      <c r="Z184" s="429"/>
      <c r="AA184" s="429"/>
      <c r="AB184" s="429"/>
      <c r="AC184" s="429"/>
      <c r="AD184" s="429"/>
      <c r="AE184" s="429"/>
    </row>
    <row r="185" spans="1:31">
      <c r="A185" s="429"/>
      <c r="B185" s="429"/>
      <c r="C185" s="429"/>
      <c r="D185" s="429"/>
      <c r="E185" s="429"/>
      <c r="F185" s="429"/>
      <c r="G185" s="429"/>
      <c r="H185" s="429"/>
      <c r="I185" s="429"/>
      <c r="J185" s="429"/>
      <c r="K185" s="429"/>
      <c r="L185" s="429"/>
      <c r="M185" s="429"/>
      <c r="N185" s="429"/>
      <c r="O185" s="429"/>
      <c r="P185" s="429"/>
      <c r="Q185" s="429"/>
      <c r="R185" s="429"/>
      <c r="S185" s="429"/>
      <c r="T185" s="429"/>
      <c r="U185" s="429"/>
      <c r="V185" s="429"/>
      <c r="W185" s="429"/>
      <c r="X185" s="429"/>
      <c r="Y185" s="429"/>
      <c r="Z185" s="429"/>
      <c r="AA185" s="429"/>
      <c r="AB185" s="429"/>
      <c r="AC185" s="429"/>
      <c r="AD185" s="429"/>
      <c r="AE185" s="429"/>
    </row>
    <row r="186" spans="1:31">
      <c r="A186" s="429"/>
      <c r="B186" s="429"/>
      <c r="C186" s="429"/>
      <c r="D186" s="429"/>
      <c r="E186" s="429"/>
      <c r="F186" s="429"/>
      <c r="G186" s="429"/>
      <c r="H186" s="429"/>
      <c r="I186" s="429"/>
      <c r="J186" s="429"/>
      <c r="K186" s="429"/>
      <c r="L186" s="429"/>
      <c r="M186" s="429"/>
      <c r="N186" s="429"/>
      <c r="O186" s="429"/>
      <c r="P186" s="429"/>
      <c r="Q186" s="429"/>
      <c r="R186" s="429"/>
      <c r="S186" s="429"/>
      <c r="T186" s="429"/>
      <c r="U186" s="429"/>
      <c r="V186" s="429"/>
      <c r="W186" s="429"/>
      <c r="X186" s="429"/>
      <c r="Y186" s="429"/>
      <c r="Z186" s="429"/>
      <c r="AA186" s="429"/>
      <c r="AB186" s="429"/>
      <c r="AC186" s="429"/>
      <c r="AD186" s="429"/>
      <c r="AE186" s="429"/>
    </row>
    <row r="187" spans="1:31">
      <c r="A187" s="429"/>
      <c r="B187" s="429"/>
      <c r="C187" s="429"/>
      <c r="D187" s="429"/>
      <c r="E187" s="429"/>
      <c r="F187" s="429"/>
      <c r="G187" s="429"/>
      <c r="H187" s="429"/>
      <c r="I187" s="429"/>
      <c r="J187" s="429"/>
      <c r="K187" s="429"/>
      <c r="L187" s="429"/>
      <c r="M187" s="429"/>
      <c r="N187" s="429"/>
      <c r="O187" s="429"/>
      <c r="P187" s="429"/>
      <c r="Q187" s="429"/>
      <c r="R187" s="429"/>
      <c r="S187" s="429"/>
      <c r="T187" s="429"/>
      <c r="U187" s="429"/>
      <c r="V187" s="429"/>
      <c r="W187" s="429"/>
      <c r="X187" s="429"/>
      <c r="Y187" s="429"/>
      <c r="Z187" s="429"/>
      <c r="AA187" s="429"/>
      <c r="AB187" s="429"/>
      <c r="AC187" s="429"/>
      <c r="AD187" s="429"/>
      <c r="AE187" s="429"/>
    </row>
    <row r="188" spans="1:31">
      <c r="A188" s="429"/>
      <c r="B188" s="429"/>
      <c r="C188" s="429"/>
      <c r="D188" s="429"/>
      <c r="E188" s="429"/>
      <c r="F188" s="429"/>
      <c r="G188" s="429"/>
      <c r="H188" s="429"/>
      <c r="I188" s="429"/>
      <c r="J188" s="429"/>
      <c r="K188" s="429"/>
      <c r="L188" s="429"/>
      <c r="M188" s="429"/>
      <c r="N188" s="429"/>
      <c r="O188" s="429"/>
      <c r="P188" s="429"/>
      <c r="Q188" s="429"/>
      <c r="R188" s="429"/>
      <c r="S188" s="429"/>
      <c r="T188" s="429"/>
      <c r="U188" s="429"/>
      <c r="V188" s="429"/>
      <c r="W188" s="429"/>
      <c r="X188" s="429"/>
      <c r="Y188" s="429"/>
      <c r="Z188" s="429"/>
      <c r="AA188" s="429"/>
      <c r="AB188" s="429"/>
      <c r="AC188" s="429"/>
      <c r="AD188" s="429"/>
      <c r="AE188" s="429"/>
    </row>
    <row r="189" spans="1:31">
      <c r="A189" s="429"/>
      <c r="B189" s="429"/>
      <c r="C189" s="429"/>
      <c r="D189" s="429"/>
      <c r="E189" s="429"/>
      <c r="F189" s="429"/>
      <c r="G189" s="429"/>
      <c r="H189" s="429"/>
      <c r="I189" s="429"/>
      <c r="J189" s="429"/>
      <c r="K189" s="429"/>
      <c r="L189" s="429"/>
      <c r="M189" s="429"/>
      <c r="N189" s="429"/>
      <c r="O189" s="429"/>
      <c r="P189" s="429"/>
      <c r="Q189" s="429"/>
      <c r="R189" s="429"/>
      <c r="S189" s="429"/>
      <c r="T189" s="429"/>
      <c r="U189" s="429"/>
      <c r="V189" s="429"/>
      <c r="W189" s="429"/>
      <c r="X189" s="429"/>
      <c r="Y189" s="429"/>
      <c r="Z189" s="429"/>
      <c r="AA189" s="429"/>
      <c r="AB189" s="429"/>
      <c r="AC189" s="429"/>
      <c r="AD189" s="429"/>
      <c r="AE189" s="429"/>
    </row>
    <row r="190" spans="1:31">
      <c r="A190" s="429"/>
      <c r="B190" s="429"/>
      <c r="C190" s="429"/>
      <c r="D190" s="429"/>
      <c r="E190" s="429"/>
      <c r="F190" s="429"/>
      <c r="G190" s="429"/>
      <c r="H190" s="429"/>
      <c r="I190" s="429"/>
      <c r="J190" s="429"/>
      <c r="K190" s="429"/>
      <c r="L190" s="429"/>
      <c r="M190" s="429"/>
      <c r="N190" s="429"/>
      <c r="O190" s="429"/>
      <c r="P190" s="429"/>
      <c r="Q190" s="429"/>
      <c r="R190" s="429"/>
      <c r="S190" s="429"/>
      <c r="T190" s="429"/>
      <c r="U190" s="429"/>
      <c r="V190" s="429"/>
      <c r="W190" s="429"/>
      <c r="X190" s="429"/>
      <c r="Y190" s="429"/>
      <c r="Z190" s="429"/>
      <c r="AA190" s="429"/>
      <c r="AB190" s="429"/>
      <c r="AC190" s="429"/>
      <c r="AD190" s="429"/>
      <c r="AE190" s="429"/>
    </row>
    <row r="191" spans="1:31">
      <c r="A191" s="429"/>
      <c r="B191" s="429"/>
      <c r="C191" s="429"/>
      <c r="D191" s="429"/>
      <c r="E191" s="429"/>
      <c r="F191" s="429"/>
      <c r="G191" s="429"/>
      <c r="H191" s="429"/>
      <c r="I191" s="429"/>
      <c r="J191" s="429"/>
      <c r="K191" s="429"/>
      <c r="L191" s="429"/>
      <c r="M191" s="429"/>
      <c r="N191" s="429"/>
      <c r="O191" s="429"/>
      <c r="P191" s="429"/>
      <c r="Q191" s="429"/>
      <c r="R191" s="429"/>
      <c r="S191" s="429"/>
      <c r="T191" s="429"/>
      <c r="U191" s="429"/>
      <c r="V191" s="429"/>
      <c r="W191" s="429"/>
      <c r="X191" s="429"/>
      <c r="Y191" s="429"/>
      <c r="Z191" s="429"/>
      <c r="AA191" s="429"/>
      <c r="AB191" s="429"/>
      <c r="AC191" s="429"/>
      <c r="AD191" s="429"/>
      <c r="AE191" s="429"/>
    </row>
    <row r="192" spans="1:31">
      <c r="A192" s="429"/>
      <c r="B192" s="429"/>
      <c r="C192" s="429"/>
      <c r="D192" s="429"/>
      <c r="E192" s="429"/>
      <c r="F192" s="429"/>
      <c r="G192" s="429"/>
      <c r="H192" s="429"/>
      <c r="I192" s="429"/>
      <c r="J192" s="429"/>
      <c r="K192" s="429"/>
      <c r="L192" s="429"/>
      <c r="M192" s="429"/>
      <c r="N192" s="429"/>
      <c r="O192" s="429"/>
      <c r="P192" s="429"/>
      <c r="Q192" s="429"/>
      <c r="R192" s="429"/>
      <c r="S192" s="429"/>
      <c r="T192" s="429"/>
      <c r="U192" s="429"/>
      <c r="V192" s="429"/>
      <c r="W192" s="429"/>
      <c r="X192" s="429"/>
      <c r="Y192" s="429"/>
      <c r="Z192" s="429"/>
      <c r="AA192" s="429"/>
      <c r="AB192" s="429"/>
      <c r="AC192" s="429"/>
      <c r="AD192" s="429"/>
      <c r="AE192" s="429"/>
    </row>
    <row r="193" spans="1:31">
      <c r="A193" s="429"/>
      <c r="B193" s="429"/>
      <c r="C193" s="429"/>
      <c r="D193" s="429"/>
      <c r="E193" s="429"/>
      <c r="F193" s="429"/>
      <c r="G193" s="429"/>
      <c r="H193" s="429"/>
      <c r="I193" s="429"/>
      <c r="J193" s="429"/>
      <c r="K193" s="429"/>
      <c r="L193" s="429"/>
      <c r="M193" s="429"/>
      <c r="N193" s="429"/>
      <c r="O193" s="429"/>
      <c r="P193" s="429"/>
      <c r="Q193" s="429"/>
      <c r="R193" s="429"/>
      <c r="S193" s="429"/>
      <c r="T193" s="429"/>
      <c r="U193" s="429"/>
      <c r="V193" s="429"/>
      <c r="W193" s="429"/>
      <c r="X193" s="429"/>
      <c r="Y193" s="429"/>
      <c r="Z193" s="429"/>
      <c r="AA193" s="429"/>
      <c r="AB193" s="429"/>
      <c r="AC193" s="429"/>
      <c r="AD193" s="429"/>
      <c r="AE193" s="429"/>
    </row>
    <row r="194" spans="1:31">
      <c r="A194" s="429"/>
      <c r="B194" s="429"/>
      <c r="C194" s="429"/>
      <c r="D194" s="429"/>
      <c r="E194" s="429"/>
      <c r="F194" s="429"/>
      <c r="G194" s="429"/>
      <c r="H194" s="429"/>
      <c r="I194" s="429"/>
      <c r="J194" s="429"/>
      <c r="K194" s="429"/>
      <c r="L194" s="429"/>
      <c r="M194" s="429"/>
      <c r="N194" s="429"/>
      <c r="O194" s="429"/>
      <c r="P194" s="429"/>
      <c r="Q194" s="429"/>
      <c r="R194" s="429"/>
      <c r="S194" s="429"/>
      <c r="T194" s="429"/>
      <c r="U194" s="429"/>
      <c r="V194" s="429"/>
      <c r="W194" s="429"/>
      <c r="X194" s="429"/>
      <c r="Y194" s="429"/>
      <c r="Z194" s="429"/>
      <c r="AA194" s="429"/>
      <c r="AB194" s="429"/>
      <c r="AC194" s="429"/>
      <c r="AD194" s="429"/>
      <c r="AE194" s="429"/>
    </row>
    <row r="195" spans="1:31">
      <c r="A195" s="429"/>
      <c r="B195" s="429"/>
      <c r="C195" s="429"/>
      <c r="D195" s="429"/>
      <c r="E195" s="429"/>
      <c r="F195" s="429"/>
      <c r="G195" s="429"/>
      <c r="H195" s="429"/>
      <c r="I195" s="429"/>
      <c r="J195" s="429"/>
      <c r="K195" s="429"/>
      <c r="L195" s="429"/>
      <c r="M195" s="429"/>
      <c r="N195" s="429"/>
      <c r="O195" s="429"/>
      <c r="P195" s="429"/>
      <c r="Q195" s="429"/>
      <c r="R195" s="429"/>
      <c r="S195" s="429"/>
      <c r="T195" s="429"/>
      <c r="U195" s="429"/>
      <c r="V195" s="429"/>
      <c r="W195" s="429"/>
      <c r="X195" s="429"/>
      <c r="Y195" s="429"/>
      <c r="Z195" s="429"/>
      <c r="AA195" s="429"/>
      <c r="AB195" s="429"/>
      <c r="AC195" s="429"/>
      <c r="AD195" s="429"/>
      <c r="AE195" s="429"/>
    </row>
    <row r="196" spans="1:31">
      <c r="A196" s="429"/>
      <c r="B196" s="429"/>
      <c r="C196" s="429"/>
      <c r="D196" s="429"/>
      <c r="E196" s="429"/>
      <c r="F196" s="429"/>
      <c r="G196" s="429"/>
      <c r="H196" s="429"/>
      <c r="I196" s="429"/>
      <c r="J196" s="429"/>
      <c r="K196" s="429"/>
      <c r="L196" s="429"/>
      <c r="M196" s="429"/>
      <c r="N196" s="429"/>
      <c r="O196" s="429"/>
      <c r="P196" s="429"/>
      <c r="Q196" s="429"/>
      <c r="R196" s="429"/>
      <c r="S196" s="429"/>
      <c r="T196" s="429"/>
      <c r="U196" s="429"/>
      <c r="V196" s="429"/>
      <c r="W196" s="429"/>
      <c r="X196" s="429"/>
      <c r="Y196" s="429"/>
      <c r="Z196" s="429"/>
      <c r="AA196" s="429"/>
      <c r="AB196" s="429"/>
      <c r="AC196" s="429"/>
      <c r="AD196" s="429"/>
      <c r="AE196" s="429"/>
    </row>
    <row r="197" spans="1:31">
      <c r="A197" s="429"/>
      <c r="B197" s="429"/>
      <c r="C197" s="429"/>
      <c r="D197" s="429"/>
      <c r="E197" s="429"/>
      <c r="F197" s="429"/>
      <c r="G197" s="429"/>
      <c r="H197" s="429"/>
      <c r="I197" s="429"/>
      <c r="J197" s="429"/>
      <c r="K197" s="429"/>
      <c r="L197" s="429"/>
      <c r="M197" s="429"/>
      <c r="N197" s="429"/>
      <c r="O197" s="429"/>
      <c r="P197" s="429"/>
      <c r="Q197" s="429"/>
      <c r="R197" s="429"/>
      <c r="S197" s="429"/>
      <c r="T197" s="429"/>
      <c r="U197" s="429"/>
      <c r="V197" s="429"/>
      <c r="W197" s="429"/>
      <c r="X197" s="429"/>
      <c r="Y197" s="429"/>
      <c r="Z197" s="429"/>
      <c r="AA197" s="429"/>
      <c r="AB197" s="429"/>
      <c r="AC197" s="429"/>
      <c r="AD197" s="429"/>
      <c r="AE197" s="429"/>
    </row>
    <row r="198" spans="1:31">
      <c r="A198" s="429"/>
      <c r="B198" s="429"/>
      <c r="C198" s="429"/>
      <c r="D198" s="429"/>
      <c r="E198" s="429"/>
      <c r="F198" s="429"/>
      <c r="G198" s="429"/>
      <c r="H198" s="429"/>
      <c r="I198" s="429"/>
      <c r="J198" s="429"/>
      <c r="K198" s="429"/>
      <c r="L198" s="429"/>
      <c r="M198" s="429"/>
      <c r="N198" s="429"/>
      <c r="O198" s="429"/>
      <c r="P198" s="429"/>
      <c r="Q198" s="429"/>
      <c r="R198" s="429"/>
      <c r="S198" s="429"/>
      <c r="T198" s="429"/>
      <c r="U198" s="429"/>
      <c r="V198" s="429"/>
      <c r="W198" s="429"/>
      <c r="X198" s="429"/>
      <c r="Y198" s="429"/>
      <c r="Z198" s="429"/>
      <c r="AA198" s="429"/>
      <c r="AB198" s="429"/>
      <c r="AC198" s="429"/>
      <c r="AD198" s="429"/>
      <c r="AE198" s="429"/>
    </row>
    <row r="199" spans="1:31">
      <c r="A199" s="429"/>
      <c r="B199" s="429"/>
      <c r="C199" s="429"/>
      <c r="D199" s="429"/>
      <c r="E199" s="429"/>
      <c r="F199" s="429"/>
      <c r="G199" s="429"/>
      <c r="H199" s="429"/>
      <c r="I199" s="429"/>
      <c r="J199" s="429"/>
      <c r="K199" s="429"/>
      <c r="L199" s="429"/>
      <c r="M199" s="429"/>
      <c r="N199" s="429"/>
      <c r="O199" s="429"/>
      <c r="P199" s="429"/>
      <c r="Q199" s="429"/>
      <c r="R199" s="429"/>
      <c r="S199" s="429"/>
      <c r="T199" s="429"/>
      <c r="U199" s="429"/>
      <c r="V199" s="429"/>
      <c r="W199" s="429"/>
      <c r="X199" s="429"/>
      <c r="Y199" s="429"/>
      <c r="Z199" s="429"/>
      <c r="AA199" s="429"/>
      <c r="AB199" s="429"/>
      <c r="AC199" s="429"/>
      <c r="AD199" s="429"/>
      <c r="AE199" s="429"/>
    </row>
    <row r="200" spans="1:31">
      <c r="A200" s="429"/>
      <c r="B200" s="429"/>
      <c r="C200" s="429"/>
      <c r="D200" s="429"/>
      <c r="E200" s="429"/>
      <c r="F200" s="429"/>
      <c r="G200" s="429"/>
      <c r="H200" s="429"/>
      <c r="I200" s="429"/>
      <c r="J200" s="429"/>
      <c r="K200" s="429"/>
      <c r="L200" s="429"/>
      <c r="M200" s="429"/>
      <c r="N200" s="429"/>
      <c r="O200" s="429"/>
      <c r="P200" s="429"/>
      <c r="Q200" s="429"/>
      <c r="R200" s="429"/>
      <c r="S200" s="429"/>
      <c r="T200" s="429"/>
      <c r="U200" s="429"/>
      <c r="V200" s="429"/>
      <c r="W200" s="429"/>
      <c r="X200" s="429"/>
      <c r="Y200" s="429"/>
      <c r="Z200" s="429"/>
      <c r="AA200" s="429"/>
      <c r="AB200" s="429"/>
      <c r="AC200" s="429"/>
      <c r="AD200" s="429"/>
      <c r="AE200" s="429"/>
    </row>
    <row r="201" spans="1:31">
      <c r="A201" s="429"/>
      <c r="B201" s="429"/>
      <c r="C201" s="429"/>
      <c r="D201" s="429"/>
      <c r="E201" s="429"/>
      <c r="F201" s="429"/>
      <c r="G201" s="429"/>
      <c r="H201" s="429"/>
      <c r="I201" s="429"/>
      <c r="J201" s="429"/>
      <c r="K201" s="429"/>
      <c r="L201" s="429"/>
      <c r="M201" s="429"/>
      <c r="N201" s="429"/>
      <c r="O201" s="429"/>
      <c r="P201" s="429"/>
      <c r="Q201" s="429"/>
      <c r="R201" s="429"/>
      <c r="S201" s="429"/>
      <c r="T201" s="429"/>
      <c r="U201" s="429"/>
      <c r="V201" s="429"/>
      <c r="W201" s="429"/>
      <c r="X201" s="429"/>
      <c r="Y201" s="429"/>
      <c r="Z201" s="429"/>
      <c r="AA201" s="429"/>
      <c r="AB201" s="429"/>
      <c r="AC201" s="429"/>
      <c r="AD201" s="429"/>
      <c r="AE201" s="429"/>
    </row>
    <row r="202" spans="1:31">
      <c r="A202" s="429"/>
      <c r="B202" s="429"/>
      <c r="C202" s="429"/>
      <c r="D202" s="429"/>
      <c r="E202" s="429"/>
      <c r="F202" s="429"/>
      <c r="G202" s="429"/>
      <c r="H202" s="429"/>
      <c r="I202" s="429"/>
      <c r="J202" s="429"/>
      <c r="K202" s="429"/>
      <c r="L202" s="429"/>
      <c r="M202" s="429"/>
      <c r="N202" s="429"/>
      <c r="O202" s="429"/>
      <c r="P202" s="429"/>
      <c r="Q202" s="429"/>
      <c r="R202" s="429"/>
      <c r="S202" s="429"/>
      <c r="T202" s="429"/>
      <c r="U202" s="429"/>
      <c r="V202" s="429"/>
      <c r="W202" s="429"/>
      <c r="X202" s="429"/>
      <c r="Y202" s="429"/>
      <c r="Z202" s="429"/>
      <c r="AA202" s="429"/>
      <c r="AB202" s="429"/>
      <c r="AC202" s="429"/>
      <c r="AD202" s="429"/>
      <c r="AE202" s="429"/>
    </row>
    <row r="203" spans="1:31">
      <c r="A203" s="429"/>
      <c r="B203" s="429"/>
      <c r="C203" s="429"/>
      <c r="D203" s="429"/>
      <c r="E203" s="429"/>
      <c r="F203" s="429"/>
      <c r="G203" s="429"/>
      <c r="H203" s="429"/>
      <c r="I203" s="429"/>
      <c r="J203" s="429"/>
      <c r="K203" s="429"/>
      <c r="L203" s="429"/>
      <c r="M203" s="429"/>
      <c r="N203" s="429"/>
      <c r="O203" s="429"/>
      <c r="P203" s="429"/>
      <c r="Q203" s="429"/>
      <c r="R203" s="429"/>
      <c r="S203" s="429"/>
      <c r="T203" s="429"/>
      <c r="U203" s="429"/>
      <c r="V203" s="429"/>
      <c r="W203" s="429"/>
      <c r="X203" s="429"/>
      <c r="Y203" s="429"/>
      <c r="Z203" s="429"/>
      <c r="AA203" s="429"/>
      <c r="AB203" s="429"/>
      <c r="AC203" s="429"/>
      <c r="AD203" s="429"/>
      <c r="AE203" s="429"/>
    </row>
    <row r="204" spans="1:31">
      <c r="A204" s="429"/>
      <c r="B204" s="429"/>
      <c r="C204" s="429"/>
      <c r="D204" s="429"/>
      <c r="E204" s="429"/>
      <c r="F204" s="429"/>
      <c r="G204" s="429"/>
      <c r="H204" s="429"/>
      <c r="I204" s="429"/>
      <c r="J204" s="429"/>
      <c r="K204" s="429"/>
      <c r="L204" s="429"/>
      <c r="M204" s="429"/>
      <c r="N204" s="429"/>
      <c r="O204" s="429"/>
      <c r="P204" s="429"/>
      <c r="Q204" s="429"/>
      <c r="R204" s="429"/>
      <c r="S204" s="429"/>
      <c r="T204" s="429"/>
      <c r="U204" s="429"/>
      <c r="V204" s="429"/>
      <c r="W204" s="429"/>
      <c r="X204" s="429"/>
      <c r="Y204" s="429"/>
      <c r="Z204" s="429"/>
      <c r="AA204" s="429"/>
      <c r="AB204" s="429"/>
      <c r="AC204" s="429"/>
      <c r="AD204" s="429"/>
      <c r="AE204" s="429"/>
    </row>
    <row r="205" spans="1:31">
      <c r="A205" s="429"/>
      <c r="B205" s="429"/>
      <c r="C205" s="429"/>
      <c r="D205" s="429"/>
      <c r="E205" s="429"/>
      <c r="F205" s="429"/>
      <c r="G205" s="429"/>
      <c r="H205" s="429"/>
      <c r="I205" s="429"/>
      <c r="J205" s="429"/>
      <c r="K205" s="429"/>
      <c r="L205" s="429"/>
      <c r="M205" s="429"/>
      <c r="N205" s="429"/>
      <c r="O205" s="429"/>
      <c r="P205" s="429"/>
      <c r="Q205" s="429"/>
      <c r="R205" s="429"/>
      <c r="S205" s="429"/>
      <c r="T205" s="429"/>
      <c r="U205" s="429"/>
      <c r="V205" s="429"/>
      <c r="W205" s="429"/>
      <c r="X205" s="429"/>
      <c r="Y205" s="429"/>
      <c r="Z205" s="429"/>
      <c r="AA205" s="429"/>
      <c r="AB205" s="429"/>
      <c r="AC205" s="429"/>
      <c r="AD205" s="429"/>
      <c r="AE205" s="429"/>
    </row>
    <row r="206" spans="1:31">
      <c r="A206" s="429"/>
      <c r="B206" s="429"/>
      <c r="C206" s="429"/>
      <c r="D206" s="429"/>
      <c r="E206" s="429"/>
      <c r="F206" s="429"/>
      <c r="G206" s="429"/>
      <c r="H206" s="429"/>
      <c r="I206" s="429"/>
      <c r="J206" s="429"/>
      <c r="K206" s="429"/>
      <c r="L206" s="429"/>
      <c r="M206" s="429"/>
      <c r="N206" s="429"/>
      <c r="O206" s="429"/>
      <c r="P206" s="429"/>
      <c r="Q206" s="429"/>
      <c r="R206" s="429"/>
      <c r="S206" s="429"/>
      <c r="T206" s="429"/>
      <c r="U206" s="429"/>
      <c r="V206" s="429"/>
      <c r="W206" s="429"/>
      <c r="X206" s="429"/>
      <c r="Y206" s="429"/>
      <c r="Z206" s="429"/>
      <c r="AA206" s="429"/>
      <c r="AB206" s="429"/>
      <c r="AC206" s="429"/>
      <c r="AD206" s="429"/>
      <c r="AE206" s="429"/>
    </row>
    <row r="207" spans="1:31">
      <c r="A207" s="429"/>
      <c r="B207" s="429"/>
      <c r="C207" s="429"/>
      <c r="D207" s="429"/>
      <c r="E207" s="429"/>
      <c r="F207" s="429"/>
      <c r="G207" s="429"/>
      <c r="H207" s="429"/>
      <c r="I207" s="429"/>
      <c r="J207" s="429"/>
      <c r="K207" s="429"/>
      <c r="L207" s="429"/>
      <c r="M207" s="429"/>
      <c r="N207" s="429"/>
      <c r="O207" s="429"/>
      <c r="P207" s="429"/>
      <c r="Q207" s="429"/>
      <c r="R207" s="429"/>
      <c r="S207" s="429"/>
      <c r="T207" s="429"/>
      <c r="U207" s="429"/>
      <c r="V207" s="429"/>
      <c r="W207" s="429"/>
      <c r="X207" s="429"/>
      <c r="Y207" s="429"/>
      <c r="Z207" s="429"/>
      <c r="AA207" s="429"/>
      <c r="AB207" s="429"/>
      <c r="AC207" s="429"/>
      <c r="AD207" s="429"/>
      <c r="AE207" s="429"/>
    </row>
    <row r="208" spans="1:31">
      <c r="A208" s="429"/>
      <c r="B208" s="429"/>
      <c r="C208" s="429"/>
      <c r="D208" s="429"/>
      <c r="E208" s="429"/>
      <c r="F208" s="429"/>
      <c r="G208" s="429"/>
      <c r="H208" s="429"/>
      <c r="I208" s="429"/>
      <c r="J208" s="429"/>
      <c r="K208" s="429"/>
      <c r="L208" s="429"/>
      <c r="M208" s="429"/>
      <c r="N208" s="429"/>
      <c r="O208" s="429"/>
      <c r="P208" s="429"/>
      <c r="Q208" s="429"/>
      <c r="R208" s="429"/>
      <c r="S208" s="429"/>
      <c r="T208" s="429"/>
      <c r="U208" s="429"/>
      <c r="V208" s="429"/>
      <c r="W208" s="429"/>
      <c r="X208" s="429"/>
      <c r="Y208" s="429"/>
      <c r="Z208" s="429"/>
      <c r="AA208" s="429"/>
      <c r="AB208" s="429"/>
      <c r="AC208" s="429"/>
      <c r="AD208" s="429"/>
      <c r="AE208" s="429"/>
    </row>
    <row r="209" spans="1:31">
      <c r="A209" s="429"/>
      <c r="B209" s="429"/>
      <c r="C209" s="429"/>
      <c r="D209" s="429"/>
      <c r="E209" s="429"/>
      <c r="F209" s="429"/>
      <c r="G209" s="429"/>
      <c r="H209" s="429"/>
      <c r="I209" s="429"/>
      <c r="J209" s="429"/>
      <c r="K209" s="429"/>
      <c r="L209" s="429"/>
      <c r="M209" s="429"/>
      <c r="N209" s="429"/>
      <c r="O209" s="429"/>
      <c r="P209" s="429"/>
      <c r="Q209" s="429"/>
      <c r="R209" s="429"/>
      <c r="S209" s="429"/>
      <c r="T209" s="429"/>
      <c r="U209" s="429"/>
      <c r="V209" s="429"/>
      <c r="W209" s="429"/>
      <c r="X209" s="429"/>
      <c r="Y209" s="429"/>
      <c r="Z209" s="429"/>
      <c r="AA209" s="429"/>
      <c r="AB209" s="429"/>
      <c r="AC209" s="429"/>
      <c r="AD209" s="429"/>
      <c r="AE209" s="429"/>
    </row>
    <row r="210" spans="1:31">
      <c r="A210" s="429"/>
      <c r="B210" s="429"/>
      <c r="C210" s="429"/>
      <c r="D210" s="429"/>
      <c r="E210" s="429"/>
      <c r="F210" s="429"/>
      <c r="G210" s="429"/>
      <c r="H210" s="429"/>
      <c r="I210" s="429"/>
      <c r="J210" s="429"/>
      <c r="K210" s="429"/>
      <c r="L210" s="429"/>
      <c r="M210" s="429"/>
      <c r="N210" s="429"/>
      <c r="O210" s="429"/>
      <c r="P210" s="429"/>
      <c r="Q210" s="429"/>
      <c r="R210" s="429"/>
      <c r="S210" s="429"/>
      <c r="T210" s="429"/>
      <c r="U210" s="429"/>
      <c r="V210" s="429"/>
      <c r="W210" s="429"/>
      <c r="X210" s="429"/>
      <c r="Y210" s="429"/>
      <c r="Z210" s="429"/>
      <c r="AA210" s="429"/>
      <c r="AB210" s="429"/>
      <c r="AC210" s="429"/>
      <c r="AD210" s="429"/>
      <c r="AE210" s="429"/>
    </row>
    <row r="211" spans="1:31">
      <c r="A211" s="429"/>
      <c r="B211" s="429"/>
      <c r="C211" s="429"/>
      <c r="D211" s="429"/>
      <c r="E211" s="429"/>
      <c r="F211" s="429"/>
      <c r="G211" s="429"/>
      <c r="H211" s="429"/>
      <c r="I211" s="429"/>
      <c r="J211" s="429"/>
      <c r="K211" s="429"/>
      <c r="L211" s="429"/>
      <c r="M211" s="429"/>
      <c r="N211" s="429"/>
      <c r="O211" s="429"/>
      <c r="P211" s="429"/>
      <c r="Q211" s="429"/>
      <c r="R211" s="429"/>
      <c r="S211" s="429"/>
      <c r="T211" s="429"/>
      <c r="U211" s="429"/>
      <c r="V211" s="429"/>
      <c r="W211" s="429"/>
      <c r="X211" s="429"/>
      <c r="Y211" s="429"/>
      <c r="Z211" s="429"/>
      <c r="AA211" s="429"/>
      <c r="AB211" s="429"/>
      <c r="AC211" s="429"/>
      <c r="AD211" s="429"/>
      <c r="AE211" s="429"/>
    </row>
    <row r="212" spans="1:31">
      <c r="A212" s="429"/>
      <c r="B212" s="429"/>
      <c r="C212" s="429"/>
      <c r="D212" s="429"/>
      <c r="E212" s="429"/>
      <c r="F212" s="429"/>
      <c r="G212" s="429"/>
      <c r="H212" s="429"/>
      <c r="I212" s="429"/>
      <c r="J212" s="429"/>
      <c r="K212" s="429"/>
      <c r="L212" s="429"/>
      <c r="M212" s="429"/>
      <c r="N212" s="429"/>
      <c r="O212" s="429"/>
      <c r="P212" s="429"/>
      <c r="Q212" s="429"/>
      <c r="R212" s="429"/>
      <c r="S212" s="429"/>
      <c r="T212" s="429"/>
      <c r="U212" s="429"/>
      <c r="V212" s="429"/>
      <c r="W212" s="429"/>
      <c r="X212" s="429"/>
      <c r="Y212" s="429"/>
      <c r="Z212" s="429"/>
      <c r="AA212" s="429"/>
      <c r="AB212" s="429"/>
      <c r="AC212" s="429"/>
      <c r="AD212" s="429"/>
      <c r="AE212" s="429"/>
    </row>
    <row r="213" spans="1:31">
      <c r="A213" s="429"/>
      <c r="B213" s="429"/>
      <c r="C213" s="429"/>
      <c r="D213" s="429"/>
      <c r="E213" s="429"/>
      <c r="F213" s="429"/>
      <c r="G213" s="429"/>
      <c r="H213" s="429"/>
      <c r="I213" s="429"/>
      <c r="J213" s="429"/>
      <c r="K213" s="429"/>
      <c r="L213" s="429"/>
      <c r="M213" s="429"/>
      <c r="N213" s="429"/>
      <c r="O213" s="429"/>
      <c r="P213" s="429"/>
      <c r="Q213" s="429"/>
      <c r="R213" s="429"/>
      <c r="S213" s="429"/>
      <c r="T213" s="429"/>
      <c r="U213" s="429"/>
      <c r="V213" s="429"/>
      <c r="W213" s="429"/>
      <c r="X213" s="429"/>
      <c r="Y213" s="429"/>
      <c r="Z213" s="429"/>
      <c r="AA213" s="429"/>
      <c r="AB213" s="429"/>
      <c r="AC213" s="429"/>
      <c r="AD213" s="429"/>
      <c r="AE213" s="429"/>
    </row>
    <row r="214" spans="1:31">
      <c r="A214" s="429"/>
      <c r="B214" s="429"/>
      <c r="C214" s="429"/>
      <c r="D214" s="429"/>
      <c r="E214" s="429"/>
      <c r="F214" s="429"/>
      <c r="G214" s="429"/>
      <c r="H214" s="429"/>
      <c r="I214" s="429"/>
      <c r="J214" s="429"/>
      <c r="K214" s="429"/>
      <c r="L214" s="429"/>
      <c r="M214" s="429"/>
      <c r="N214" s="429"/>
      <c r="O214" s="429"/>
      <c r="P214" s="429"/>
      <c r="Q214" s="429"/>
      <c r="R214" s="429"/>
      <c r="S214" s="429"/>
      <c r="T214" s="429"/>
      <c r="U214" s="429"/>
      <c r="V214" s="429"/>
      <c r="W214" s="429"/>
      <c r="X214" s="429"/>
      <c r="Y214" s="429"/>
      <c r="Z214" s="429"/>
      <c r="AA214" s="429"/>
      <c r="AB214" s="429"/>
      <c r="AC214" s="429"/>
      <c r="AD214" s="429"/>
      <c r="AE214" s="429"/>
    </row>
    <row r="215" spans="1:31">
      <c r="A215" s="429"/>
      <c r="B215" s="429"/>
      <c r="C215" s="429"/>
      <c r="D215" s="429"/>
      <c r="E215" s="429"/>
      <c r="F215" s="429"/>
      <c r="G215" s="429"/>
      <c r="H215" s="429"/>
      <c r="I215" s="429"/>
      <c r="J215" s="429"/>
      <c r="K215" s="429"/>
      <c r="L215" s="429"/>
      <c r="M215" s="429"/>
      <c r="N215" s="429"/>
      <c r="O215" s="429"/>
      <c r="P215" s="429"/>
      <c r="Q215" s="429"/>
      <c r="R215" s="429"/>
      <c r="S215" s="429"/>
      <c r="T215" s="429"/>
      <c r="U215" s="429"/>
      <c r="V215" s="429"/>
      <c r="W215" s="429"/>
      <c r="X215" s="429"/>
      <c r="Y215" s="429"/>
      <c r="Z215" s="429"/>
      <c r="AA215" s="429"/>
      <c r="AB215" s="429"/>
      <c r="AC215" s="429"/>
      <c r="AD215" s="429"/>
      <c r="AE215" s="429"/>
    </row>
    <row r="216" spans="1:31">
      <c r="A216" s="429"/>
      <c r="B216" s="429"/>
      <c r="C216" s="429"/>
      <c r="D216" s="429"/>
      <c r="E216" s="429"/>
      <c r="F216" s="429"/>
      <c r="G216" s="429"/>
      <c r="H216" s="429"/>
      <c r="I216" s="429"/>
      <c r="J216" s="429"/>
      <c r="K216" s="429"/>
      <c r="L216" s="429"/>
      <c r="M216" s="429"/>
      <c r="N216" s="429"/>
      <c r="O216" s="429"/>
      <c r="P216" s="429"/>
      <c r="Q216" s="429"/>
      <c r="R216" s="429"/>
      <c r="S216" s="429"/>
      <c r="T216" s="429"/>
      <c r="U216" s="429"/>
      <c r="V216" s="429"/>
      <c r="W216" s="429"/>
      <c r="X216" s="429"/>
      <c r="Y216" s="429"/>
      <c r="Z216" s="429"/>
      <c r="AA216" s="429"/>
      <c r="AB216" s="429"/>
      <c r="AC216" s="429"/>
      <c r="AD216" s="429"/>
      <c r="AE216" s="429"/>
    </row>
    <row r="217" spans="1:31">
      <c r="A217" s="429"/>
      <c r="B217" s="429"/>
      <c r="C217" s="429"/>
      <c r="D217" s="429"/>
      <c r="E217" s="429"/>
      <c r="F217" s="429"/>
      <c r="G217" s="429"/>
      <c r="H217" s="429"/>
      <c r="I217" s="429"/>
      <c r="J217" s="429"/>
      <c r="K217" s="429"/>
      <c r="L217" s="429"/>
      <c r="M217" s="429"/>
      <c r="N217" s="429"/>
      <c r="O217" s="429"/>
      <c r="P217" s="429"/>
      <c r="Q217" s="429"/>
      <c r="R217" s="429"/>
      <c r="S217" s="429"/>
      <c r="T217" s="429"/>
      <c r="U217" s="429"/>
      <c r="V217" s="429"/>
      <c r="W217" s="429"/>
      <c r="X217" s="429"/>
      <c r="Y217" s="429"/>
      <c r="Z217" s="429"/>
      <c r="AA217" s="429"/>
      <c r="AB217" s="429"/>
      <c r="AC217" s="429"/>
      <c r="AD217" s="429"/>
      <c r="AE217" s="429"/>
    </row>
    <row r="218" spans="1:31">
      <c r="A218" s="429"/>
      <c r="B218" s="429"/>
      <c r="C218" s="429"/>
      <c r="D218" s="429"/>
      <c r="E218" s="429"/>
      <c r="F218" s="429"/>
      <c r="G218" s="429"/>
      <c r="H218" s="429"/>
      <c r="I218" s="429"/>
      <c r="J218" s="429"/>
      <c r="K218" s="429"/>
      <c r="L218" s="429"/>
      <c r="M218" s="429"/>
      <c r="N218" s="429"/>
      <c r="O218" s="429"/>
      <c r="P218" s="429"/>
      <c r="Q218" s="429"/>
      <c r="R218" s="429"/>
      <c r="S218" s="429"/>
      <c r="T218" s="429"/>
      <c r="U218" s="429"/>
      <c r="V218" s="429"/>
      <c r="W218" s="429"/>
      <c r="X218" s="429"/>
      <c r="Y218" s="429"/>
      <c r="Z218" s="429"/>
      <c r="AA218" s="429"/>
      <c r="AB218" s="429"/>
      <c r="AC218" s="429"/>
      <c r="AD218" s="429"/>
      <c r="AE218" s="429"/>
    </row>
    <row r="219" spans="1:31">
      <c r="A219" s="429"/>
      <c r="B219" s="429"/>
      <c r="C219" s="429"/>
      <c r="D219" s="429"/>
      <c r="E219" s="429"/>
      <c r="F219" s="429"/>
      <c r="G219" s="429"/>
      <c r="H219" s="429"/>
      <c r="I219" s="429"/>
      <c r="J219" s="429"/>
      <c r="K219" s="429"/>
      <c r="L219" s="429"/>
      <c r="M219" s="429"/>
      <c r="N219" s="429"/>
      <c r="O219" s="429"/>
      <c r="P219" s="429"/>
      <c r="Q219" s="429"/>
      <c r="R219" s="429"/>
      <c r="S219" s="429"/>
      <c r="T219" s="429"/>
      <c r="U219" s="429"/>
      <c r="V219" s="429"/>
      <c r="W219" s="429"/>
      <c r="X219" s="429"/>
      <c r="Y219" s="429"/>
      <c r="Z219" s="429"/>
      <c r="AA219" s="429"/>
      <c r="AB219" s="429"/>
      <c r="AC219" s="429"/>
      <c r="AD219" s="429"/>
      <c r="AE219" s="429"/>
    </row>
    <row r="220" spans="1:31">
      <c r="A220" s="429"/>
      <c r="B220" s="429"/>
      <c r="C220" s="429"/>
      <c r="D220" s="429"/>
      <c r="E220" s="429"/>
      <c r="F220" s="429"/>
      <c r="G220" s="429"/>
      <c r="H220" s="429"/>
      <c r="I220" s="429"/>
      <c r="J220" s="429"/>
      <c r="K220" s="429"/>
      <c r="L220" s="429"/>
      <c r="M220" s="429"/>
      <c r="N220" s="429"/>
      <c r="O220" s="429"/>
      <c r="P220" s="429"/>
      <c r="Q220" s="429"/>
      <c r="R220" s="429"/>
      <c r="S220" s="429"/>
      <c r="T220" s="429"/>
      <c r="U220" s="429"/>
      <c r="V220" s="429"/>
      <c r="W220" s="429"/>
      <c r="X220" s="429"/>
      <c r="Y220" s="429"/>
      <c r="Z220" s="429"/>
      <c r="AA220" s="429"/>
      <c r="AB220" s="429"/>
      <c r="AC220" s="429"/>
      <c r="AD220" s="429"/>
      <c r="AE220" s="429"/>
    </row>
    <row r="221" spans="1:31">
      <c r="A221" s="429"/>
      <c r="B221" s="429"/>
      <c r="C221" s="429"/>
      <c r="D221" s="429"/>
      <c r="E221" s="429"/>
      <c r="F221" s="429"/>
      <c r="G221" s="429"/>
      <c r="H221" s="429"/>
      <c r="I221" s="429"/>
      <c r="J221" s="429"/>
      <c r="K221" s="429"/>
      <c r="L221" s="429"/>
      <c r="M221" s="429"/>
      <c r="N221" s="429"/>
      <c r="O221" s="429"/>
      <c r="P221" s="429"/>
      <c r="Q221" s="429"/>
      <c r="R221" s="429"/>
      <c r="S221" s="429"/>
      <c r="T221" s="429"/>
      <c r="U221" s="429"/>
      <c r="V221" s="429"/>
      <c r="W221" s="429"/>
      <c r="X221" s="429"/>
      <c r="Y221" s="429"/>
      <c r="Z221" s="429"/>
      <c r="AA221" s="429"/>
      <c r="AB221" s="429"/>
      <c r="AC221" s="429"/>
      <c r="AD221" s="429"/>
      <c r="AE221" s="429"/>
    </row>
    <row r="222" spans="1:31">
      <c r="A222" s="429"/>
      <c r="B222" s="429"/>
      <c r="C222" s="429"/>
      <c r="D222" s="429"/>
      <c r="E222" s="429"/>
      <c r="F222" s="429"/>
      <c r="G222" s="429"/>
      <c r="H222" s="429"/>
      <c r="I222" s="429"/>
      <c r="J222" s="429"/>
      <c r="K222" s="429"/>
      <c r="L222" s="429"/>
      <c r="M222" s="429"/>
      <c r="N222" s="429"/>
      <c r="O222" s="429"/>
      <c r="P222" s="429"/>
      <c r="Q222" s="429"/>
      <c r="R222" s="429"/>
      <c r="S222" s="429"/>
      <c r="T222" s="429"/>
      <c r="U222" s="429"/>
      <c r="V222" s="429"/>
      <c r="W222" s="429"/>
      <c r="X222" s="429"/>
      <c r="Y222" s="429"/>
      <c r="Z222" s="429"/>
      <c r="AA222" s="429"/>
      <c r="AB222" s="429"/>
      <c r="AC222" s="429"/>
      <c r="AD222" s="429"/>
      <c r="AE222" s="429"/>
    </row>
    <row r="223" spans="1:31">
      <c r="A223" s="429"/>
      <c r="B223" s="429"/>
      <c r="C223" s="429"/>
      <c r="D223" s="429"/>
      <c r="E223" s="429"/>
      <c r="F223" s="429"/>
      <c r="G223" s="429"/>
      <c r="H223" s="429"/>
      <c r="I223" s="429"/>
      <c r="J223" s="429"/>
      <c r="K223" s="429"/>
      <c r="L223" s="429"/>
      <c r="M223" s="429"/>
      <c r="N223" s="429"/>
      <c r="O223" s="429"/>
      <c r="P223" s="429"/>
      <c r="Q223" s="429"/>
      <c r="R223" s="429"/>
      <c r="S223" s="429"/>
      <c r="T223" s="429"/>
      <c r="U223" s="429"/>
      <c r="V223" s="429"/>
      <c r="W223" s="429"/>
      <c r="X223" s="429"/>
      <c r="Y223" s="429"/>
      <c r="Z223" s="429"/>
      <c r="AA223" s="429"/>
      <c r="AB223" s="429"/>
      <c r="AC223" s="429"/>
      <c r="AD223" s="429"/>
      <c r="AE223" s="429"/>
    </row>
    <row r="224" spans="1:31">
      <c r="A224" s="429"/>
      <c r="B224" s="429"/>
      <c r="C224" s="429"/>
      <c r="D224" s="429"/>
      <c r="E224" s="429"/>
      <c r="F224" s="429"/>
      <c r="G224" s="429"/>
      <c r="H224" s="429"/>
      <c r="I224" s="429"/>
      <c r="J224" s="429"/>
      <c r="K224" s="429"/>
      <c r="L224" s="429"/>
      <c r="M224" s="429"/>
      <c r="N224" s="429"/>
      <c r="O224" s="429"/>
      <c r="P224" s="429"/>
      <c r="Q224" s="429"/>
      <c r="R224" s="429"/>
      <c r="S224" s="429"/>
      <c r="T224" s="429"/>
      <c r="U224" s="429"/>
      <c r="V224" s="429"/>
      <c r="W224" s="429"/>
      <c r="X224" s="429"/>
      <c r="Y224" s="429"/>
      <c r="Z224" s="429"/>
      <c r="AA224" s="429"/>
      <c r="AB224" s="429"/>
      <c r="AC224" s="429"/>
      <c r="AD224" s="429"/>
      <c r="AE224" s="429"/>
    </row>
    <row r="225" spans="1:31">
      <c r="A225" s="429"/>
      <c r="B225" s="429"/>
      <c r="C225" s="429"/>
      <c r="D225" s="429"/>
      <c r="E225" s="429"/>
      <c r="F225" s="429"/>
      <c r="G225" s="429"/>
      <c r="H225" s="429"/>
      <c r="I225" s="429"/>
      <c r="J225" s="429"/>
      <c r="K225" s="429"/>
      <c r="L225" s="429"/>
      <c r="M225" s="429"/>
      <c r="N225" s="429"/>
      <c r="O225" s="429"/>
      <c r="P225" s="429"/>
      <c r="Q225" s="429"/>
      <c r="R225" s="429"/>
      <c r="S225" s="429"/>
      <c r="T225" s="429"/>
      <c r="U225" s="429"/>
      <c r="V225" s="429"/>
      <c r="W225" s="429"/>
      <c r="X225" s="429"/>
      <c r="Y225" s="429"/>
      <c r="Z225" s="429"/>
      <c r="AA225" s="429"/>
      <c r="AB225" s="429"/>
      <c r="AC225" s="429"/>
      <c r="AD225" s="429"/>
      <c r="AE225" s="429"/>
    </row>
    <row r="226" spans="1:31">
      <c r="A226" s="429"/>
      <c r="B226" s="429"/>
      <c r="C226" s="429"/>
      <c r="D226" s="429"/>
      <c r="E226" s="429"/>
      <c r="F226" s="429"/>
      <c r="G226" s="429"/>
      <c r="H226" s="429"/>
      <c r="I226" s="429"/>
      <c r="J226" s="429"/>
      <c r="K226" s="429"/>
      <c r="L226" s="429"/>
      <c r="M226" s="429"/>
      <c r="N226" s="429"/>
      <c r="O226" s="429"/>
      <c r="P226" s="429"/>
      <c r="Q226" s="429"/>
      <c r="R226" s="429"/>
      <c r="S226" s="429"/>
      <c r="T226" s="429"/>
      <c r="U226" s="429"/>
      <c r="V226" s="429"/>
      <c r="W226" s="429"/>
      <c r="X226" s="429"/>
      <c r="Y226" s="429"/>
      <c r="Z226" s="429"/>
      <c r="AA226" s="429"/>
      <c r="AB226" s="429"/>
      <c r="AC226" s="429"/>
      <c r="AD226" s="429"/>
      <c r="AE226" s="429"/>
    </row>
    <row r="227" spans="1:31">
      <c r="A227" s="429"/>
      <c r="B227" s="429"/>
      <c r="C227" s="429"/>
      <c r="D227" s="429"/>
      <c r="E227" s="429"/>
      <c r="F227" s="429"/>
      <c r="G227" s="429"/>
      <c r="H227" s="429"/>
      <c r="I227" s="429"/>
      <c r="J227" s="429"/>
      <c r="K227" s="429"/>
      <c r="L227" s="429"/>
      <c r="M227" s="429"/>
      <c r="N227" s="429"/>
      <c r="O227" s="429"/>
      <c r="P227" s="429"/>
      <c r="Q227" s="429"/>
      <c r="R227" s="429"/>
      <c r="S227" s="429"/>
      <c r="T227" s="429"/>
      <c r="U227" s="429"/>
      <c r="V227" s="429"/>
      <c r="W227" s="429"/>
      <c r="X227" s="429"/>
      <c r="Y227" s="429"/>
      <c r="Z227" s="429"/>
      <c r="AA227" s="429"/>
      <c r="AB227" s="429"/>
      <c r="AC227" s="429"/>
      <c r="AD227" s="429"/>
      <c r="AE227" s="429"/>
    </row>
    <row r="228" spans="1:31">
      <c r="A228" s="429"/>
      <c r="B228" s="429"/>
      <c r="C228" s="429"/>
      <c r="D228" s="429"/>
      <c r="E228" s="429"/>
      <c r="F228" s="429"/>
      <c r="G228" s="429"/>
      <c r="H228" s="429"/>
      <c r="I228" s="429"/>
      <c r="J228" s="429"/>
      <c r="K228" s="429"/>
      <c r="L228" s="429"/>
      <c r="M228" s="429"/>
      <c r="N228" s="429"/>
      <c r="O228" s="429"/>
      <c r="P228" s="429"/>
      <c r="Q228" s="429"/>
      <c r="R228" s="429"/>
      <c r="S228" s="429"/>
      <c r="T228" s="429"/>
      <c r="U228" s="429"/>
      <c r="V228" s="429"/>
      <c r="W228" s="429"/>
      <c r="X228" s="429"/>
      <c r="Y228" s="429"/>
      <c r="Z228" s="429"/>
      <c r="AA228" s="429"/>
      <c r="AB228" s="429"/>
      <c r="AC228" s="429"/>
      <c r="AD228" s="429"/>
      <c r="AE228" s="429"/>
    </row>
    <row r="229" spans="1:31">
      <c r="A229" s="429"/>
      <c r="B229" s="429"/>
      <c r="C229" s="429"/>
      <c r="D229" s="429"/>
      <c r="E229" s="429"/>
      <c r="F229" s="429"/>
      <c r="G229" s="429"/>
      <c r="H229" s="429"/>
      <c r="I229" s="429"/>
      <c r="J229" s="429"/>
      <c r="K229" s="429"/>
      <c r="L229" s="429"/>
      <c r="M229" s="429"/>
      <c r="N229" s="429"/>
      <c r="O229" s="429"/>
      <c r="P229" s="429"/>
      <c r="Q229" s="429"/>
      <c r="R229" s="429"/>
      <c r="S229" s="429"/>
      <c r="T229" s="429"/>
      <c r="U229" s="429"/>
      <c r="V229" s="429"/>
      <c r="W229" s="429"/>
      <c r="X229" s="429"/>
      <c r="Y229" s="429"/>
      <c r="Z229" s="429"/>
      <c r="AA229" s="429"/>
      <c r="AB229" s="429"/>
      <c r="AC229" s="429"/>
      <c r="AD229" s="429"/>
      <c r="AE229" s="429"/>
    </row>
    <row r="230" spans="1:31">
      <c r="A230" s="429"/>
      <c r="B230" s="429"/>
      <c r="C230" s="429"/>
      <c r="D230" s="429"/>
      <c r="E230" s="429"/>
      <c r="F230" s="429"/>
      <c r="G230" s="429"/>
      <c r="H230" s="429"/>
      <c r="I230" s="429"/>
      <c r="J230" s="429"/>
      <c r="K230" s="429"/>
      <c r="L230" s="429"/>
      <c r="M230" s="429"/>
      <c r="N230" s="429"/>
      <c r="O230" s="429"/>
      <c r="P230" s="429"/>
      <c r="Q230" s="429"/>
      <c r="R230" s="429"/>
      <c r="S230" s="429"/>
      <c r="T230" s="429"/>
      <c r="U230" s="429"/>
      <c r="V230" s="429"/>
      <c r="W230" s="429"/>
      <c r="X230" s="429"/>
      <c r="Y230" s="429"/>
      <c r="Z230" s="429"/>
      <c r="AA230" s="429"/>
      <c r="AB230" s="429"/>
      <c r="AC230" s="429"/>
      <c r="AD230" s="429"/>
      <c r="AE230" s="429"/>
    </row>
    <row r="231" spans="1:31">
      <c r="A231" s="429"/>
      <c r="B231" s="429"/>
      <c r="C231" s="429"/>
      <c r="D231" s="429"/>
      <c r="E231" s="429"/>
      <c r="F231" s="429"/>
      <c r="G231" s="429"/>
      <c r="H231" s="429"/>
      <c r="I231" s="429"/>
      <c r="J231" s="429"/>
      <c r="K231" s="429"/>
      <c r="L231" s="429"/>
      <c r="M231" s="429"/>
      <c r="N231" s="429"/>
      <c r="O231" s="429"/>
      <c r="P231" s="429"/>
      <c r="Q231" s="429"/>
      <c r="R231" s="429"/>
      <c r="S231" s="429"/>
      <c r="T231" s="429"/>
      <c r="U231" s="429"/>
      <c r="V231" s="429"/>
      <c r="W231" s="429"/>
      <c r="X231" s="429"/>
      <c r="Y231" s="429"/>
      <c r="Z231" s="429"/>
      <c r="AA231" s="429"/>
      <c r="AB231" s="429"/>
      <c r="AC231" s="429"/>
      <c r="AD231" s="429"/>
      <c r="AE231" s="429"/>
    </row>
    <row r="232" spans="1:31">
      <c r="A232" s="429"/>
      <c r="B232" s="429"/>
      <c r="C232" s="429"/>
      <c r="D232" s="429"/>
      <c r="E232" s="429"/>
      <c r="F232" s="429"/>
      <c r="G232" s="429"/>
      <c r="H232" s="429"/>
      <c r="I232" s="429"/>
      <c r="J232" s="429"/>
      <c r="K232" s="429"/>
      <c r="L232" s="429"/>
      <c r="M232" s="429"/>
      <c r="N232" s="429"/>
      <c r="O232" s="429"/>
      <c r="P232" s="429"/>
      <c r="Q232" s="429"/>
      <c r="R232" s="429"/>
      <c r="S232" s="429"/>
      <c r="T232" s="429"/>
      <c r="U232" s="429"/>
      <c r="V232" s="429"/>
      <c r="W232" s="429"/>
      <c r="X232" s="429"/>
      <c r="Y232" s="429"/>
      <c r="Z232" s="429"/>
      <c r="AA232" s="429"/>
      <c r="AB232" s="429"/>
      <c r="AC232" s="429"/>
      <c r="AD232" s="429"/>
      <c r="AE232" s="429"/>
    </row>
    <row r="233" spans="1:31">
      <c r="A233" s="429"/>
      <c r="B233" s="429"/>
      <c r="C233" s="429"/>
      <c r="D233" s="429"/>
      <c r="E233" s="429"/>
      <c r="F233" s="429"/>
      <c r="G233" s="429"/>
      <c r="H233" s="429"/>
      <c r="I233" s="429"/>
      <c r="J233" s="429"/>
      <c r="K233" s="429"/>
      <c r="L233" s="429"/>
      <c r="M233" s="429"/>
      <c r="N233" s="429"/>
      <c r="O233" s="429"/>
      <c r="P233" s="429"/>
      <c r="Q233" s="429"/>
      <c r="R233" s="429"/>
      <c r="S233" s="429"/>
      <c r="T233" s="429"/>
      <c r="U233" s="429"/>
      <c r="V233" s="429"/>
      <c r="W233" s="429"/>
      <c r="X233" s="429"/>
      <c r="Y233" s="429"/>
      <c r="Z233" s="429"/>
      <c r="AA233" s="429"/>
      <c r="AB233" s="429"/>
      <c r="AC233" s="429"/>
      <c r="AD233" s="429"/>
      <c r="AE233" s="429"/>
    </row>
    <row r="234" spans="1:31">
      <c r="A234" s="429"/>
      <c r="B234" s="429"/>
      <c r="C234" s="429"/>
      <c r="D234" s="429"/>
      <c r="E234" s="429"/>
      <c r="F234" s="429"/>
      <c r="G234" s="429"/>
      <c r="H234" s="429"/>
      <c r="I234" s="429"/>
      <c r="J234" s="429"/>
      <c r="K234" s="429"/>
      <c r="L234" s="429"/>
      <c r="M234" s="429"/>
      <c r="N234" s="429"/>
      <c r="O234" s="429"/>
      <c r="P234" s="429"/>
      <c r="Q234" s="429"/>
      <c r="R234" s="429"/>
      <c r="S234" s="429"/>
      <c r="T234" s="429"/>
      <c r="U234" s="429"/>
      <c r="V234" s="429"/>
      <c r="W234" s="429"/>
      <c r="X234" s="429"/>
      <c r="Y234" s="429"/>
      <c r="Z234" s="429"/>
      <c r="AA234" s="429"/>
      <c r="AB234" s="429"/>
      <c r="AC234" s="429"/>
      <c r="AD234" s="429"/>
      <c r="AE234" s="429"/>
    </row>
    <row r="235" spans="1:31">
      <c r="A235" s="429"/>
      <c r="B235" s="429"/>
      <c r="C235" s="429"/>
      <c r="D235" s="429"/>
      <c r="E235" s="429"/>
      <c r="F235" s="429"/>
      <c r="G235" s="429"/>
      <c r="H235" s="429"/>
      <c r="I235" s="429"/>
      <c r="J235" s="429"/>
      <c r="K235" s="429"/>
      <c r="L235" s="429"/>
      <c r="M235" s="429"/>
      <c r="N235" s="429"/>
      <c r="O235" s="429"/>
      <c r="P235" s="429"/>
      <c r="Q235" s="429"/>
      <c r="R235" s="429"/>
      <c r="S235" s="429"/>
      <c r="T235" s="429"/>
      <c r="U235" s="429"/>
      <c r="V235" s="429"/>
      <c r="W235" s="429"/>
      <c r="X235" s="429"/>
      <c r="Y235" s="429"/>
      <c r="Z235" s="429"/>
      <c r="AA235" s="429"/>
      <c r="AB235" s="429"/>
      <c r="AC235" s="429"/>
      <c r="AD235" s="429"/>
      <c r="AE235" s="429"/>
    </row>
    <row r="236" spans="1:31">
      <c r="A236" s="429"/>
      <c r="B236" s="429"/>
      <c r="C236" s="429"/>
      <c r="D236" s="429"/>
      <c r="E236" s="429"/>
      <c r="F236" s="429"/>
      <c r="G236" s="429"/>
      <c r="H236" s="429"/>
      <c r="I236" s="429"/>
      <c r="J236" s="429"/>
      <c r="K236" s="429"/>
      <c r="L236" s="429"/>
      <c r="M236" s="429"/>
      <c r="N236" s="429"/>
      <c r="O236" s="429"/>
      <c r="P236" s="429"/>
      <c r="Q236" s="429"/>
      <c r="R236" s="429"/>
      <c r="S236" s="429"/>
      <c r="T236" s="429"/>
      <c r="U236" s="429"/>
      <c r="V236" s="429"/>
      <c r="W236" s="429"/>
      <c r="X236" s="429"/>
      <c r="Y236" s="429"/>
      <c r="Z236" s="429"/>
      <c r="AA236" s="429"/>
      <c r="AB236" s="429"/>
      <c r="AC236" s="429"/>
      <c r="AD236" s="429"/>
      <c r="AE236" s="429"/>
    </row>
    <row r="237" spans="1:31">
      <c r="A237" s="429"/>
      <c r="B237" s="429"/>
      <c r="C237" s="429"/>
      <c r="D237" s="429"/>
      <c r="E237" s="429"/>
      <c r="F237" s="429"/>
      <c r="G237" s="429"/>
      <c r="H237" s="429"/>
      <c r="I237" s="429"/>
      <c r="J237" s="429"/>
      <c r="K237" s="429"/>
      <c r="L237" s="429"/>
      <c r="M237" s="429"/>
      <c r="N237" s="429"/>
      <c r="O237" s="429"/>
      <c r="P237" s="429"/>
      <c r="Q237" s="429"/>
      <c r="R237" s="429"/>
      <c r="S237" s="429"/>
      <c r="T237" s="429"/>
      <c r="U237" s="429"/>
      <c r="V237" s="429"/>
      <c r="W237" s="429"/>
      <c r="X237" s="429"/>
      <c r="Y237" s="429"/>
      <c r="Z237" s="429"/>
      <c r="AA237" s="429"/>
      <c r="AB237" s="429"/>
      <c r="AC237" s="429"/>
      <c r="AD237" s="429"/>
      <c r="AE237" s="429"/>
    </row>
    <row r="238" spans="1:31">
      <c r="A238" s="429"/>
      <c r="B238" s="429"/>
      <c r="C238" s="429"/>
      <c r="D238" s="429"/>
      <c r="E238" s="429"/>
      <c r="F238" s="429"/>
      <c r="G238" s="429"/>
      <c r="H238" s="429"/>
      <c r="I238" s="429"/>
      <c r="J238" s="429"/>
      <c r="K238" s="429"/>
      <c r="L238" s="429"/>
      <c r="M238" s="429"/>
      <c r="N238" s="429"/>
      <c r="O238" s="429"/>
      <c r="P238" s="429"/>
      <c r="Q238" s="429"/>
      <c r="R238" s="429"/>
      <c r="S238" s="429"/>
      <c r="T238" s="429"/>
      <c r="U238" s="429"/>
      <c r="V238" s="429"/>
      <c r="W238" s="429"/>
      <c r="X238" s="429"/>
      <c r="Y238" s="429"/>
      <c r="Z238" s="429"/>
      <c r="AA238" s="429"/>
      <c r="AB238" s="429"/>
      <c r="AC238" s="429"/>
      <c r="AD238" s="429"/>
      <c r="AE238" s="429"/>
    </row>
    <row r="239" spans="1:31">
      <c r="A239" s="429"/>
      <c r="B239" s="429"/>
      <c r="C239" s="429"/>
      <c r="D239" s="429"/>
      <c r="E239" s="429"/>
      <c r="F239" s="429"/>
      <c r="G239" s="429"/>
      <c r="H239" s="429"/>
      <c r="I239" s="429"/>
      <c r="J239" s="429"/>
      <c r="K239" s="429"/>
      <c r="L239" s="429"/>
      <c r="M239" s="429"/>
      <c r="N239" s="429"/>
      <c r="O239" s="429"/>
      <c r="P239" s="429"/>
      <c r="Q239" s="429"/>
      <c r="R239" s="429"/>
      <c r="S239" s="429"/>
      <c r="T239" s="429"/>
      <c r="U239" s="429"/>
      <c r="V239" s="429"/>
      <c r="W239" s="429"/>
      <c r="X239" s="429"/>
      <c r="Y239" s="429"/>
      <c r="Z239" s="429"/>
      <c r="AA239" s="429"/>
      <c r="AB239" s="429"/>
      <c r="AC239" s="429"/>
      <c r="AD239" s="429"/>
      <c r="AE239" s="429"/>
    </row>
    <row r="240" spans="1:31">
      <c r="A240" s="429"/>
      <c r="B240" s="429"/>
      <c r="C240" s="429"/>
      <c r="D240" s="429"/>
      <c r="E240" s="429"/>
      <c r="F240" s="429"/>
      <c r="G240" s="429"/>
      <c r="H240" s="429"/>
      <c r="I240" s="429"/>
      <c r="J240" s="429"/>
      <c r="K240" s="429"/>
      <c r="L240" s="429"/>
      <c r="M240" s="429"/>
      <c r="N240" s="429"/>
      <c r="O240" s="429"/>
      <c r="P240" s="429"/>
      <c r="Q240" s="429"/>
      <c r="R240" s="429"/>
      <c r="S240" s="429"/>
      <c r="T240" s="429"/>
      <c r="U240" s="429"/>
      <c r="V240" s="429"/>
      <c r="W240" s="429"/>
      <c r="X240" s="429"/>
      <c r="Y240" s="429"/>
      <c r="Z240" s="429"/>
      <c r="AA240" s="429"/>
      <c r="AB240" s="429"/>
      <c r="AC240" s="429"/>
      <c r="AD240" s="429"/>
      <c r="AE240" s="429"/>
    </row>
    <row r="241" spans="1:31">
      <c r="A241" s="429"/>
      <c r="B241" s="429"/>
      <c r="C241" s="429"/>
      <c r="D241" s="429"/>
      <c r="E241" s="429"/>
      <c r="F241" s="429"/>
      <c r="G241" s="429"/>
      <c r="H241" s="429"/>
      <c r="I241" s="429"/>
      <c r="J241" s="429"/>
      <c r="K241" s="429"/>
      <c r="L241" s="429"/>
      <c r="M241" s="429"/>
      <c r="N241" s="429"/>
      <c r="O241" s="429"/>
      <c r="P241" s="429"/>
      <c r="Q241" s="429"/>
      <c r="R241" s="429"/>
      <c r="S241" s="429"/>
      <c r="T241" s="429"/>
      <c r="U241" s="429"/>
      <c r="V241" s="429"/>
      <c r="W241" s="429"/>
      <c r="X241" s="429"/>
      <c r="Y241" s="429"/>
      <c r="Z241" s="429"/>
      <c r="AA241" s="429"/>
      <c r="AB241" s="429"/>
      <c r="AC241" s="429"/>
      <c r="AD241" s="429"/>
      <c r="AE241" s="429"/>
    </row>
    <row r="242" spans="1:31">
      <c r="A242" s="429"/>
      <c r="B242" s="429"/>
      <c r="C242" s="429"/>
      <c r="D242" s="429"/>
      <c r="E242" s="429"/>
      <c r="F242" s="429"/>
      <c r="G242" s="429"/>
      <c r="H242" s="429"/>
      <c r="I242" s="429"/>
      <c r="J242" s="429"/>
      <c r="K242" s="429"/>
      <c r="L242" s="429"/>
      <c r="M242" s="429"/>
      <c r="N242" s="429"/>
      <c r="O242" s="429"/>
      <c r="P242" s="429"/>
      <c r="Q242" s="429"/>
      <c r="R242" s="429"/>
      <c r="S242" s="429"/>
      <c r="T242" s="429"/>
      <c r="U242" s="429"/>
      <c r="V242" s="429"/>
      <c r="W242" s="429"/>
      <c r="X242" s="429"/>
      <c r="Y242" s="429"/>
      <c r="Z242" s="429"/>
      <c r="AA242" s="429"/>
      <c r="AB242" s="429"/>
      <c r="AC242" s="429"/>
      <c r="AD242" s="429"/>
      <c r="AE242" s="429"/>
    </row>
    <row r="243" spans="1:31">
      <c r="A243" s="429"/>
      <c r="B243" s="429"/>
      <c r="C243" s="429"/>
      <c r="D243" s="429"/>
      <c r="E243" s="429"/>
      <c r="F243" s="429"/>
      <c r="G243" s="429"/>
      <c r="H243" s="429"/>
      <c r="I243" s="429"/>
      <c r="J243" s="429"/>
      <c r="K243" s="429"/>
      <c r="L243" s="429"/>
      <c r="M243" s="429"/>
      <c r="N243" s="429"/>
      <c r="O243" s="429"/>
      <c r="P243" s="429"/>
      <c r="Q243" s="429"/>
      <c r="R243" s="429"/>
      <c r="S243" s="429"/>
      <c r="T243" s="429"/>
      <c r="U243" s="429"/>
      <c r="V243" s="429"/>
      <c r="W243" s="429"/>
      <c r="X243" s="429"/>
      <c r="Y243" s="429"/>
      <c r="Z243" s="429"/>
      <c r="AA243" s="429"/>
      <c r="AB243" s="429"/>
      <c r="AC243" s="429"/>
      <c r="AD243" s="429"/>
      <c r="AE243" s="429"/>
    </row>
    <row r="244" spans="1:31">
      <c r="A244" s="429"/>
      <c r="B244" s="429"/>
      <c r="C244" s="429"/>
      <c r="D244" s="429"/>
      <c r="E244" s="429"/>
      <c r="F244" s="429"/>
      <c r="G244" s="429"/>
      <c r="H244" s="429"/>
      <c r="I244" s="429"/>
      <c r="J244" s="429"/>
      <c r="K244" s="429"/>
      <c r="L244" s="429"/>
      <c r="M244" s="429"/>
      <c r="N244" s="429"/>
      <c r="O244" s="429"/>
      <c r="P244" s="429"/>
      <c r="Q244" s="429"/>
      <c r="R244" s="429"/>
      <c r="S244" s="429"/>
      <c r="T244" s="429"/>
      <c r="U244" s="429"/>
      <c r="V244" s="429"/>
      <c r="W244" s="429"/>
      <c r="X244" s="429"/>
      <c r="Y244" s="429"/>
      <c r="Z244" s="429"/>
      <c r="AA244" s="429"/>
      <c r="AB244" s="429"/>
      <c r="AC244" s="429"/>
      <c r="AD244" s="429"/>
      <c r="AE244" s="429"/>
    </row>
    <row r="245" spans="1:31">
      <c r="A245" s="429"/>
      <c r="B245" s="429"/>
      <c r="C245" s="429"/>
      <c r="D245" s="429"/>
      <c r="E245" s="429"/>
      <c r="F245" s="429"/>
      <c r="G245" s="429"/>
      <c r="H245" s="429"/>
      <c r="I245" s="429"/>
      <c r="J245" s="429"/>
      <c r="K245" s="429"/>
      <c r="L245" s="429"/>
      <c r="M245" s="429"/>
      <c r="N245" s="429"/>
      <c r="O245" s="429"/>
      <c r="P245" s="429"/>
      <c r="Q245" s="429"/>
      <c r="R245" s="429"/>
      <c r="S245" s="429"/>
      <c r="T245" s="429"/>
      <c r="U245" s="429"/>
      <c r="V245" s="429"/>
      <c r="W245" s="429"/>
      <c r="X245" s="429"/>
      <c r="Y245" s="429"/>
      <c r="Z245" s="429"/>
      <c r="AA245" s="429"/>
      <c r="AB245" s="429"/>
      <c r="AC245" s="429"/>
      <c r="AD245" s="429"/>
      <c r="AE245" s="429"/>
    </row>
    <row r="246" spans="1:31">
      <c r="A246" s="429"/>
      <c r="B246" s="429"/>
      <c r="C246" s="429"/>
      <c r="D246" s="429"/>
      <c r="E246" s="429"/>
      <c r="F246" s="429"/>
      <c r="G246" s="429"/>
      <c r="H246" s="429"/>
      <c r="I246" s="429"/>
      <c r="J246" s="429"/>
      <c r="K246" s="429"/>
      <c r="L246" s="429"/>
      <c r="M246" s="429"/>
      <c r="N246" s="429"/>
      <c r="O246" s="429"/>
      <c r="P246" s="429"/>
      <c r="Q246" s="429"/>
      <c r="R246" s="429"/>
      <c r="S246" s="429"/>
      <c r="T246" s="429"/>
      <c r="U246" s="429"/>
      <c r="V246" s="429"/>
      <c r="W246" s="429"/>
      <c r="X246" s="429"/>
      <c r="Y246" s="429"/>
      <c r="Z246" s="429"/>
      <c r="AA246" s="429"/>
      <c r="AB246" s="429"/>
      <c r="AC246" s="429"/>
      <c r="AD246" s="429"/>
      <c r="AE246" s="429"/>
    </row>
    <row r="247" spans="1:31">
      <c r="A247" s="429"/>
      <c r="B247" s="429"/>
      <c r="C247" s="429"/>
      <c r="D247" s="429"/>
      <c r="E247" s="429"/>
      <c r="F247" s="429"/>
      <c r="G247" s="429"/>
      <c r="H247" s="429"/>
      <c r="I247" s="429"/>
      <c r="J247" s="429"/>
      <c r="K247" s="429"/>
      <c r="L247" s="429"/>
      <c r="M247" s="429"/>
      <c r="N247" s="429"/>
      <c r="O247" s="429"/>
      <c r="P247" s="429"/>
      <c r="Q247" s="429"/>
      <c r="R247" s="429"/>
      <c r="S247" s="429"/>
      <c r="T247" s="429"/>
      <c r="U247" s="429"/>
      <c r="V247" s="429"/>
      <c r="W247" s="429"/>
      <c r="X247" s="429"/>
      <c r="Y247" s="429"/>
      <c r="Z247" s="429"/>
      <c r="AA247" s="429"/>
      <c r="AB247" s="429"/>
      <c r="AC247" s="429"/>
      <c r="AD247" s="429"/>
      <c r="AE247" s="429"/>
    </row>
    <row r="248" spans="1:31">
      <c r="A248" s="429"/>
      <c r="B248" s="429"/>
      <c r="C248" s="429"/>
      <c r="D248" s="429"/>
      <c r="E248" s="429"/>
      <c r="F248" s="429"/>
      <c r="G248" s="429"/>
      <c r="H248" s="429"/>
      <c r="I248" s="429"/>
      <c r="J248" s="429"/>
      <c r="K248" s="429"/>
      <c r="L248" s="429"/>
      <c r="M248" s="429"/>
      <c r="N248" s="429"/>
      <c r="O248" s="429"/>
      <c r="P248" s="429"/>
      <c r="Q248" s="429"/>
      <c r="R248" s="429"/>
      <c r="S248" s="429"/>
      <c r="T248" s="429"/>
      <c r="U248" s="429"/>
      <c r="V248" s="429"/>
      <c r="W248" s="429"/>
      <c r="X248" s="429"/>
      <c r="Y248" s="429"/>
      <c r="Z248" s="429"/>
      <c r="AA248" s="429"/>
      <c r="AB248" s="429"/>
      <c r="AC248" s="429"/>
      <c r="AD248" s="429"/>
      <c r="AE248" s="429"/>
    </row>
    <row r="249" spans="1:31">
      <c r="A249" s="429"/>
      <c r="B249" s="429"/>
      <c r="C249" s="429"/>
      <c r="D249" s="429"/>
      <c r="E249" s="429"/>
      <c r="F249" s="429"/>
      <c r="G249" s="429"/>
      <c r="H249" s="429"/>
      <c r="I249" s="429"/>
      <c r="J249" s="429"/>
      <c r="K249" s="429"/>
      <c r="L249" s="429"/>
      <c r="M249" s="429"/>
      <c r="N249" s="429"/>
      <c r="O249" s="429"/>
      <c r="P249" s="429"/>
      <c r="Q249" s="429"/>
      <c r="R249" s="429"/>
      <c r="S249" s="429"/>
      <c r="T249" s="429"/>
      <c r="U249" s="429"/>
      <c r="V249" s="429"/>
      <c r="W249" s="429"/>
      <c r="X249" s="429"/>
      <c r="Y249" s="429"/>
      <c r="Z249" s="429"/>
      <c r="AA249" s="429"/>
      <c r="AB249" s="429"/>
      <c r="AC249" s="429"/>
      <c r="AD249" s="429"/>
      <c r="AE249" s="429"/>
    </row>
    <row r="250" spans="1:31">
      <c r="A250" s="429"/>
      <c r="B250" s="429"/>
      <c r="C250" s="429"/>
      <c r="D250" s="429"/>
      <c r="E250" s="429"/>
      <c r="F250" s="429"/>
      <c r="G250" s="429"/>
      <c r="H250" s="429"/>
      <c r="I250" s="429"/>
      <c r="J250" s="429"/>
      <c r="K250" s="429"/>
      <c r="L250" s="429"/>
      <c r="M250" s="429"/>
      <c r="N250" s="429"/>
      <c r="O250" s="429"/>
      <c r="P250" s="429"/>
      <c r="Q250" s="429"/>
      <c r="R250" s="429"/>
      <c r="S250" s="429"/>
      <c r="T250" s="429"/>
      <c r="U250" s="429"/>
      <c r="V250" s="429"/>
      <c r="W250" s="429"/>
      <c r="X250" s="429"/>
      <c r="Y250" s="429"/>
      <c r="Z250" s="429"/>
      <c r="AA250" s="429"/>
      <c r="AB250" s="429"/>
      <c r="AC250" s="429"/>
      <c r="AD250" s="429"/>
      <c r="AE250" s="429"/>
    </row>
    <row r="251" spans="1:31">
      <c r="A251" s="429"/>
      <c r="B251" s="429"/>
      <c r="C251" s="429"/>
      <c r="D251" s="429"/>
      <c r="E251" s="429"/>
      <c r="F251" s="429"/>
      <c r="G251" s="429"/>
      <c r="H251" s="429"/>
      <c r="I251" s="429"/>
      <c r="J251" s="429"/>
      <c r="K251" s="429"/>
      <c r="L251" s="429"/>
      <c r="M251" s="429"/>
      <c r="N251" s="429"/>
      <c r="O251" s="429"/>
      <c r="P251" s="429"/>
      <c r="Q251" s="429"/>
      <c r="R251" s="429"/>
      <c r="S251" s="429"/>
      <c r="T251" s="429"/>
      <c r="U251" s="429"/>
      <c r="V251" s="429"/>
      <c r="W251" s="429"/>
      <c r="X251" s="429"/>
      <c r="Y251" s="429"/>
      <c r="Z251" s="429"/>
      <c r="AA251" s="429"/>
      <c r="AB251" s="429"/>
      <c r="AC251" s="429"/>
      <c r="AD251" s="429"/>
      <c r="AE251" s="429"/>
    </row>
    <row r="252" spans="1:31">
      <c r="A252" s="429"/>
      <c r="B252" s="429"/>
      <c r="C252" s="429"/>
      <c r="D252" s="429"/>
      <c r="E252" s="429"/>
      <c r="F252" s="429"/>
      <c r="G252" s="429"/>
      <c r="H252" s="429"/>
      <c r="I252" s="429"/>
      <c r="J252" s="429"/>
      <c r="K252" s="429"/>
      <c r="L252" s="429"/>
      <c r="M252" s="429"/>
      <c r="N252" s="429"/>
      <c r="O252" s="429"/>
      <c r="P252" s="429"/>
      <c r="Q252" s="429"/>
      <c r="R252" s="429"/>
      <c r="S252" s="429"/>
      <c r="T252" s="429"/>
      <c r="U252" s="429"/>
      <c r="V252" s="429"/>
      <c r="W252" s="429"/>
      <c r="X252" s="429"/>
      <c r="Y252" s="429"/>
      <c r="Z252" s="429"/>
      <c r="AA252" s="429"/>
      <c r="AB252" s="429"/>
      <c r="AC252" s="429"/>
      <c r="AD252" s="429"/>
      <c r="AE252" s="429"/>
    </row>
    <row r="253" spans="1:31">
      <c r="A253" s="429"/>
      <c r="B253" s="429"/>
      <c r="C253" s="429"/>
      <c r="D253" s="429"/>
      <c r="E253" s="429"/>
      <c r="F253" s="429"/>
      <c r="G253" s="429"/>
      <c r="H253" s="429"/>
      <c r="I253" s="429"/>
      <c r="J253" s="429"/>
      <c r="K253" s="429"/>
      <c r="L253" s="429"/>
      <c r="M253" s="429"/>
      <c r="N253" s="429"/>
      <c r="O253" s="429"/>
      <c r="P253" s="429"/>
      <c r="Q253" s="429"/>
      <c r="R253" s="429"/>
      <c r="S253" s="429"/>
      <c r="T253" s="429"/>
      <c r="U253" s="429"/>
      <c r="V253" s="429"/>
      <c r="W253" s="429"/>
      <c r="X253" s="429"/>
      <c r="Y253" s="429"/>
      <c r="Z253" s="429"/>
      <c r="AA253" s="429"/>
      <c r="AB253" s="429"/>
      <c r="AC253" s="429"/>
      <c r="AD253" s="429"/>
      <c r="AE253" s="429"/>
    </row>
    <row r="254" spans="1:31">
      <c r="A254" s="429"/>
      <c r="B254" s="429"/>
      <c r="C254" s="429"/>
      <c r="D254" s="429"/>
      <c r="E254" s="429"/>
      <c r="F254" s="429"/>
      <c r="G254" s="429"/>
      <c r="H254" s="429"/>
      <c r="I254" s="429"/>
      <c r="J254" s="429"/>
      <c r="K254" s="429"/>
      <c r="L254" s="429"/>
      <c r="M254" s="429"/>
      <c r="N254" s="429"/>
      <c r="O254" s="429"/>
      <c r="P254" s="429"/>
      <c r="Q254" s="429"/>
      <c r="R254" s="429"/>
      <c r="S254" s="429"/>
      <c r="T254" s="429"/>
      <c r="U254" s="429"/>
      <c r="V254" s="429"/>
      <c r="W254" s="429"/>
      <c r="X254" s="429"/>
      <c r="Y254" s="429"/>
      <c r="Z254" s="429"/>
      <c r="AA254" s="429"/>
      <c r="AB254" s="429"/>
      <c r="AC254" s="429"/>
      <c r="AD254" s="429"/>
      <c r="AE254" s="429"/>
    </row>
    <row r="255" spans="1:31">
      <c r="A255" s="429"/>
      <c r="B255" s="429"/>
      <c r="C255" s="429"/>
      <c r="D255" s="429"/>
      <c r="E255" s="429"/>
      <c r="F255" s="429"/>
      <c r="G255" s="429"/>
      <c r="H255" s="429"/>
      <c r="I255" s="429"/>
      <c r="J255" s="429"/>
      <c r="K255" s="429"/>
      <c r="L255" s="429"/>
      <c r="M255" s="429"/>
      <c r="N255" s="429"/>
      <c r="O255" s="429"/>
      <c r="P255" s="429"/>
      <c r="Q255" s="429"/>
      <c r="R255" s="429"/>
      <c r="S255" s="429"/>
      <c r="T255" s="429"/>
      <c r="U255" s="429"/>
      <c r="V255" s="429"/>
      <c r="W255" s="429"/>
      <c r="X255" s="429"/>
      <c r="Y255" s="429"/>
      <c r="Z255" s="429"/>
      <c r="AA255" s="429"/>
      <c r="AB255" s="429"/>
      <c r="AC255" s="429"/>
      <c r="AD255" s="429"/>
      <c r="AE255" s="429"/>
    </row>
    <row r="256" spans="1:31">
      <c r="A256" s="429"/>
      <c r="B256" s="429"/>
      <c r="C256" s="429"/>
      <c r="D256" s="429"/>
      <c r="E256" s="429"/>
      <c r="F256" s="429"/>
      <c r="G256" s="429"/>
      <c r="H256" s="429"/>
      <c r="I256" s="429"/>
      <c r="J256" s="429"/>
      <c r="K256" s="429"/>
      <c r="L256" s="429"/>
      <c r="M256" s="429"/>
      <c r="N256" s="429"/>
      <c r="O256" s="429"/>
      <c r="P256" s="429"/>
      <c r="Q256" s="429"/>
      <c r="R256" s="429"/>
      <c r="S256" s="429"/>
      <c r="T256" s="429"/>
      <c r="U256" s="429"/>
      <c r="V256" s="429"/>
      <c r="W256" s="429"/>
      <c r="X256" s="429"/>
      <c r="Y256" s="429"/>
      <c r="Z256" s="429"/>
      <c r="AA256" s="429"/>
      <c r="AB256" s="429"/>
      <c r="AC256" s="429"/>
      <c r="AD256" s="429"/>
      <c r="AE256" s="429"/>
    </row>
    <row r="257" spans="1:31">
      <c r="A257" s="429"/>
      <c r="B257" s="429"/>
      <c r="C257" s="429"/>
      <c r="D257" s="429"/>
      <c r="E257" s="429"/>
      <c r="F257" s="429"/>
      <c r="G257" s="429"/>
      <c r="H257" s="429"/>
      <c r="I257" s="429"/>
      <c r="J257" s="429"/>
      <c r="K257" s="429"/>
      <c r="L257" s="429"/>
      <c r="M257" s="429"/>
      <c r="N257" s="429"/>
      <c r="O257" s="429"/>
      <c r="P257" s="429"/>
      <c r="Q257" s="429"/>
      <c r="R257" s="429"/>
      <c r="S257" s="429"/>
      <c r="T257" s="429"/>
      <c r="U257" s="429"/>
      <c r="V257" s="429"/>
      <c r="W257" s="429"/>
      <c r="X257" s="429"/>
      <c r="Y257" s="429"/>
      <c r="Z257" s="429"/>
      <c r="AA257" s="429"/>
      <c r="AB257" s="429"/>
      <c r="AC257" s="429"/>
      <c r="AD257" s="429"/>
      <c r="AE257" s="429"/>
    </row>
    <row r="258" spans="1:31">
      <c r="A258" s="429"/>
      <c r="B258" s="429"/>
      <c r="C258" s="429"/>
      <c r="D258" s="429"/>
      <c r="E258" s="429"/>
      <c r="F258" s="429"/>
      <c r="G258" s="429"/>
      <c r="H258" s="429"/>
      <c r="I258" s="429"/>
      <c r="J258" s="429"/>
      <c r="K258" s="429"/>
      <c r="L258" s="429"/>
      <c r="M258" s="429"/>
      <c r="N258" s="429"/>
      <c r="O258" s="429"/>
      <c r="P258" s="429"/>
      <c r="Q258" s="429"/>
      <c r="R258" s="429"/>
      <c r="S258" s="429"/>
      <c r="T258" s="429"/>
      <c r="U258" s="429"/>
      <c r="V258" s="429"/>
      <c r="W258" s="429"/>
      <c r="X258" s="429"/>
      <c r="Y258" s="429"/>
      <c r="Z258" s="429"/>
      <c r="AA258" s="429"/>
      <c r="AB258" s="429"/>
      <c r="AC258" s="429"/>
      <c r="AD258" s="429"/>
      <c r="AE258" s="429"/>
    </row>
    <row r="259" spans="1:31">
      <c r="A259" s="429"/>
      <c r="B259" s="429"/>
      <c r="C259" s="429"/>
      <c r="D259" s="429"/>
      <c r="E259" s="429"/>
      <c r="F259" s="429"/>
      <c r="G259" s="429"/>
      <c r="H259" s="429"/>
      <c r="I259" s="429"/>
      <c r="J259" s="429"/>
      <c r="K259" s="429"/>
      <c r="L259" s="429"/>
      <c r="M259" s="429"/>
      <c r="N259" s="429"/>
      <c r="O259" s="429"/>
      <c r="P259" s="429"/>
      <c r="Q259" s="429"/>
      <c r="R259" s="429"/>
      <c r="S259" s="429"/>
      <c r="T259" s="429"/>
      <c r="U259" s="429"/>
      <c r="V259" s="429"/>
      <c r="W259" s="429"/>
      <c r="X259" s="429"/>
      <c r="Y259" s="429"/>
      <c r="Z259" s="429"/>
      <c r="AA259" s="429"/>
      <c r="AB259" s="429"/>
      <c r="AC259" s="429"/>
      <c r="AD259" s="429"/>
      <c r="AE259" s="429"/>
    </row>
    <row r="260" spans="1:31">
      <c r="A260" s="429"/>
      <c r="B260" s="429"/>
      <c r="C260" s="429"/>
      <c r="D260" s="429"/>
      <c r="E260" s="429"/>
      <c r="F260" s="429"/>
      <c r="G260" s="429"/>
      <c r="H260" s="429"/>
      <c r="I260" s="429"/>
      <c r="J260" s="429"/>
      <c r="K260" s="429"/>
      <c r="L260" s="429"/>
      <c r="M260" s="429"/>
      <c r="N260" s="429"/>
      <c r="O260" s="429"/>
      <c r="P260" s="429"/>
      <c r="Q260" s="429"/>
      <c r="R260" s="429"/>
      <c r="S260" s="429"/>
      <c r="T260" s="429"/>
      <c r="U260" s="429"/>
      <c r="V260" s="429"/>
      <c r="W260" s="429"/>
      <c r="X260" s="429"/>
      <c r="Y260" s="429"/>
      <c r="Z260" s="429"/>
      <c r="AA260" s="429"/>
      <c r="AB260" s="429"/>
      <c r="AC260" s="429"/>
      <c r="AD260" s="429"/>
      <c r="AE260" s="429"/>
    </row>
    <row r="261" spans="1:31">
      <c r="A261" s="429"/>
      <c r="B261" s="429"/>
      <c r="C261" s="429"/>
      <c r="D261" s="429"/>
      <c r="E261" s="429"/>
      <c r="F261" s="429"/>
      <c r="G261" s="429"/>
      <c r="H261" s="429"/>
      <c r="I261" s="429"/>
      <c r="J261" s="429"/>
      <c r="K261" s="429"/>
      <c r="L261" s="429"/>
      <c r="M261" s="429"/>
      <c r="N261" s="429"/>
      <c r="O261" s="429"/>
      <c r="P261" s="429"/>
      <c r="Q261" s="429"/>
      <c r="R261" s="429"/>
      <c r="S261" s="429"/>
      <c r="T261" s="429"/>
      <c r="U261" s="429"/>
      <c r="V261" s="429"/>
      <c r="W261" s="429"/>
      <c r="X261" s="429"/>
      <c r="Y261" s="429"/>
      <c r="Z261" s="429"/>
      <c r="AA261" s="429"/>
      <c r="AB261" s="429"/>
      <c r="AC261" s="429"/>
      <c r="AD261" s="429"/>
      <c r="AE261" s="429"/>
    </row>
    <row r="262" spans="1:31">
      <c r="A262" s="429"/>
      <c r="B262" s="429"/>
      <c r="C262" s="429"/>
      <c r="D262" s="429"/>
      <c r="E262" s="429"/>
      <c r="F262" s="429"/>
      <c r="G262" s="429"/>
      <c r="H262" s="429"/>
      <c r="I262" s="429"/>
      <c r="J262" s="429"/>
      <c r="K262" s="429"/>
      <c r="L262" s="429"/>
      <c r="M262" s="429"/>
      <c r="N262" s="429"/>
      <c r="O262" s="429"/>
      <c r="P262" s="429"/>
      <c r="Q262" s="429"/>
      <c r="R262" s="429"/>
      <c r="S262" s="429"/>
      <c r="T262" s="429"/>
      <c r="U262" s="429"/>
      <c r="V262" s="429"/>
      <c r="W262" s="429"/>
      <c r="X262" s="429"/>
      <c r="Y262" s="429"/>
      <c r="Z262" s="429"/>
      <c r="AA262" s="429"/>
      <c r="AB262" s="429"/>
      <c r="AC262" s="429"/>
      <c r="AD262" s="429"/>
      <c r="AE262" s="429"/>
    </row>
    <row r="263" spans="1:31">
      <c r="A263" s="429"/>
      <c r="B263" s="429"/>
      <c r="C263" s="429"/>
      <c r="D263" s="429"/>
      <c r="E263" s="429"/>
      <c r="F263" s="429"/>
      <c r="G263" s="429"/>
      <c r="H263" s="429"/>
      <c r="I263" s="429"/>
      <c r="J263" s="429"/>
      <c r="K263" s="429"/>
      <c r="L263" s="429"/>
      <c r="M263" s="429"/>
      <c r="N263" s="429"/>
      <c r="O263" s="429"/>
      <c r="P263" s="429"/>
      <c r="Q263" s="429"/>
      <c r="R263" s="429"/>
      <c r="S263" s="429"/>
      <c r="T263" s="429"/>
      <c r="U263" s="429"/>
      <c r="V263" s="429"/>
      <c r="W263" s="429"/>
      <c r="X263" s="429"/>
      <c r="Y263" s="429"/>
      <c r="Z263" s="429"/>
      <c r="AA263" s="429"/>
      <c r="AB263" s="429"/>
      <c r="AC263" s="429"/>
      <c r="AD263" s="429"/>
      <c r="AE263" s="429"/>
    </row>
    <row r="264" spans="1:31">
      <c r="A264" s="429"/>
      <c r="B264" s="429"/>
      <c r="C264" s="429"/>
      <c r="D264" s="429"/>
      <c r="E264" s="429"/>
      <c r="F264" s="429"/>
      <c r="G264" s="429"/>
      <c r="H264" s="429"/>
      <c r="I264" s="429"/>
      <c r="J264" s="429"/>
      <c r="K264" s="429"/>
      <c r="L264" s="429"/>
      <c r="M264" s="429"/>
      <c r="N264" s="429"/>
      <c r="O264" s="429"/>
      <c r="P264" s="429"/>
      <c r="Q264" s="429"/>
      <c r="R264" s="429"/>
      <c r="S264" s="429"/>
      <c r="T264" s="429"/>
      <c r="U264" s="429"/>
      <c r="V264" s="429"/>
      <c r="W264" s="429"/>
      <c r="X264" s="429"/>
      <c r="Y264" s="429"/>
      <c r="Z264" s="429"/>
      <c r="AA264" s="429"/>
      <c r="AB264" s="429"/>
      <c r="AC264" s="429"/>
      <c r="AD264" s="429"/>
      <c r="AE264" s="429"/>
    </row>
    <row r="265" spans="1:31">
      <c r="A265" s="429"/>
      <c r="B265" s="429"/>
      <c r="C265" s="429"/>
      <c r="D265" s="429"/>
      <c r="E265" s="429"/>
      <c r="F265" s="429"/>
      <c r="G265" s="429"/>
      <c r="H265" s="429"/>
      <c r="I265" s="429"/>
      <c r="J265" s="429"/>
      <c r="K265" s="429"/>
      <c r="L265" s="429"/>
      <c r="M265" s="429"/>
      <c r="N265" s="429"/>
      <c r="O265" s="429"/>
      <c r="P265" s="429"/>
      <c r="Q265" s="429"/>
      <c r="R265" s="429"/>
      <c r="S265" s="429"/>
      <c r="T265" s="429"/>
      <c r="U265" s="429"/>
      <c r="V265" s="429"/>
      <c r="W265" s="429"/>
      <c r="X265" s="429"/>
      <c r="Y265" s="429"/>
      <c r="Z265" s="429"/>
      <c r="AA265" s="429"/>
      <c r="AB265" s="429"/>
      <c r="AC265" s="429"/>
      <c r="AD265" s="429"/>
      <c r="AE265" s="429"/>
    </row>
    <row r="266" spans="1:31">
      <c r="A266" s="429"/>
      <c r="B266" s="429"/>
      <c r="C266" s="429"/>
      <c r="D266" s="429"/>
      <c r="E266" s="429"/>
      <c r="F266" s="429"/>
      <c r="G266" s="429"/>
      <c r="H266" s="429"/>
      <c r="I266" s="429"/>
      <c r="J266" s="429"/>
      <c r="K266" s="429"/>
      <c r="L266" s="429"/>
      <c r="M266" s="429"/>
      <c r="N266" s="429"/>
      <c r="O266" s="429"/>
      <c r="P266" s="429"/>
      <c r="Q266" s="429"/>
      <c r="R266" s="429"/>
      <c r="S266" s="429"/>
      <c r="T266" s="429"/>
      <c r="U266" s="429"/>
      <c r="V266" s="429"/>
      <c r="W266" s="429"/>
      <c r="X266" s="429"/>
      <c r="Y266" s="429"/>
      <c r="Z266" s="429"/>
      <c r="AA266" s="429"/>
      <c r="AB266" s="429"/>
      <c r="AC266" s="429"/>
      <c r="AD266" s="429"/>
      <c r="AE266" s="429"/>
    </row>
    <row r="267" spans="1:31">
      <c r="A267" s="429"/>
      <c r="B267" s="429"/>
      <c r="C267" s="429"/>
      <c r="D267" s="429"/>
      <c r="E267" s="429"/>
      <c r="F267" s="429"/>
      <c r="G267" s="429"/>
      <c r="H267" s="429"/>
      <c r="I267" s="429"/>
      <c r="J267" s="429"/>
      <c r="K267" s="429"/>
      <c r="L267" s="429"/>
      <c r="M267" s="429"/>
      <c r="N267" s="429"/>
      <c r="O267" s="429"/>
      <c r="P267" s="429"/>
      <c r="Q267" s="429"/>
      <c r="R267" s="429"/>
      <c r="S267" s="429"/>
      <c r="T267" s="429"/>
      <c r="U267" s="429"/>
      <c r="V267" s="429"/>
      <c r="W267" s="429"/>
      <c r="X267" s="429"/>
      <c r="Y267" s="429"/>
      <c r="Z267" s="429"/>
      <c r="AA267" s="429"/>
      <c r="AB267" s="429"/>
      <c r="AC267" s="429"/>
      <c r="AD267" s="429"/>
      <c r="AE267" s="429"/>
    </row>
    <row r="268" spans="1:31">
      <c r="A268" s="429"/>
      <c r="B268" s="429"/>
      <c r="C268" s="429"/>
      <c r="D268" s="429"/>
      <c r="E268" s="429"/>
      <c r="F268" s="429"/>
      <c r="G268" s="429"/>
      <c r="H268" s="429"/>
      <c r="I268" s="429"/>
      <c r="J268" s="429"/>
      <c r="K268" s="429"/>
      <c r="L268" s="429"/>
      <c r="M268" s="429"/>
      <c r="N268" s="429"/>
      <c r="O268" s="429"/>
      <c r="P268" s="429"/>
      <c r="Q268" s="429"/>
      <c r="R268" s="429"/>
      <c r="S268" s="429"/>
      <c r="T268" s="429"/>
      <c r="U268" s="429"/>
      <c r="V268" s="429"/>
      <c r="W268" s="429"/>
      <c r="X268" s="429"/>
      <c r="Y268" s="429"/>
      <c r="Z268" s="429"/>
      <c r="AA268" s="429"/>
      <c r="AB268" s="429"/>
      <c r="AC268" s="429"/>
      <c r="AD268" s="429"/>
      <c r="AE268" s="429"/>
    </row>
    <row r="269" spans="1:31">
      <c r="A269" s="429"/>
      <c r="B269" s="429"/>
      <c r="C269" s="429"/>
      <c r="D269" s="429"/>
      <c r="E269" s="429"/>
      <c r="F269" s="429"/>
      <c r="G269" s="429"/>
      <c r="H269" s="429"/>
      <c r="I269" s="429"/>
      <c r="J269" s="429"/>
      <c r="K269" s="429"/>
      <c r="L269" s="429"/>
      <c r="M269" s="429"/>
      <c r="N269" s="429"/>
      <c r="O269" s="429"/>
      <c r="P269" s="429"/>
      <c r="Q269" s="429"/>
      <c r="R269" s="429"/>
      <c r="S269" s="429"/>
      <c r="T269" s="429"/>
      <c r="U269" s="429"/>
      <c r="V269" s="429"/>
      <c r="W269" s="429"/>
      <c r="X269" s="429"/>
      <c r="Y269" s="429"/>
      <c r="Z269" s="429"/>
      <c r="AA269" s="429"/>
      <c r="AB269" s="429"/>
      <c r="AC269" s="429"/>
      <c r="AD269" s="429"/>
      <c r="AE269" s="429"/>
    </row>
    <row r="270" spans="1:31">
      <c r="A270" s="429"/>
      <c r="B270" s="429"/>
      <c r="C270" s="429"/>
      <c r="D270" s="429"/>
      <c r="E270" s="429"/>
      <c r="F270" s="429"/>
      <c r="G270" s="429"/>
      <c r="H270" s="429"/>
      <c r="I270" s="429"/>
      <c r="J270" s="429"/>
      <c r="K270" s="429"/>
      <c r="L270" s="429"/>
      <c r="M270" s="429"/>
      <c r="N270" s="429"/>
      <c r="O270" s="429"/>
      <c r="P270" s="429"/>
      <c r="Q270" s="429"/>
      <c r="R270" s="429"/>
      <c r="S270" s="429"/>
      <c r="T270" s="429"/>
      <c r="U270" s="429"/>
      <c r="V270" s="429"/>
      <c r="W270" s="429"/>
      <c r="X270" s="429"/>
      <c r="Y270" s="429"/>
      <c r="Z270" s="429"/>
      <c r="AA270" s="429"/>
      <c r="AB270" s="429"/>
      <c r="AC270" s="429"/>
      <c r="AD270" s="429"/>
      <c r="AE270" s="429"/>
    </row>
    <row r="271" spans="1:31">
      <c r="A271" s="429"/>
      <c r="B271" s="429"/>
      <c r="C271" s="429"/>
      <c r="D271" s="429"/>
      <c r="E271" s="429"/>
      <c r="F271" s="429"/>
      <c r="G271" s="429"/>
      <c r="H271" s="429"/>
      <c r="I271" s="429"/>
      <c r="J271" s="429"/>
      <c r="K271" s="429"/>
      <c r="L271" s="429"/>
      <c r="M271" s="429"/>
      <c r="N271" s="429"/>
      <c r="O271" s="429"/>
      <c r="P271" s="429"/>
      <c r="Q271" s="429"/>
      <c r="R271" s="429"/>
      <c r="S271" s="429"/>
      <c r="T271" s="429"/>
      <c r="U271" s="429"/>
      <c r="V271" s="429"/>
      <c r="W271" s="429"/>
      <c r="X271" s="429"/>
      <c r="Y271" s="429"/>
      <c r="Z271" s="429"/>
      <c r="AA271" s="429"/>
      <c r="AB271" s="429"/>
      <c r="AC271" s="429"/>
      <c r="AD271" s="429"/>
      <c r="AE271" s="429"/>
    </row>
    <row r="272" spans="1:31">
      <c r="A272" s="429"/>
      <c r="B272" s="429"/>
      <c r="C272" s="429"/>
      <c r="D272" s="429"/>
      <c r="E272" s="429"/>
      <c r="F272" s="429"/>
      <c r="G272" s="429"/>
      <c r="H272" s="429"/>
      <c r="I272" s="429"/>
      <c r="J272" s="429"/>
      <c r="K272" s="429"/>
      <c r="L272" s="429"/>
      <c r="M272" s="429"/>
      <c r="N272" s="429"/>
      <c r="O272" s="429"/>
      <c r="P272" s="429"/>
      <c r="Q272" s="429"/>
      <c r="R272" s="429"/>
      <c r="S272" s="429"/>
      <c r="T272" s="429"/>
      <c r="U272" s="429"/>
      <c r="V272" s="429"/>
      <c r="W272" s="429"/>
      <c r="X272" s="429"/>
      <c r="Y272" s="429"/>
      <c r="Z272" s="429"/>
      <c r="AA272" s="429"/>
      <c r="AB272" s="429"/>
      <c r="AC272" s="429"/>
      <c r="AD272" s="429"/>
      <c r="AE272" s="429"/>
    </row>
    <row r="273" spans="1:31">
      <c r="A273" s="429"/>
      <c r="B273" s="429"/>
      <c r="C273" s="429"/>
      <c r="D273" s="429"/>
      <c r="E273" s="429"/>
      <c r="F273" s="429"/>
      <c r="G273" s="429"/>
      <c r="H273" s="429"/>
      <c r="I273" s="429"/>
      <c r="J273" s="429"/>
      <c r="K273" s="429"/>
      <c r="L273" s="429"/>
      <c r="M273" s="429"/>
      <c r="N273" s="429"/>
      <c r="O273" s="429"/>
      <c r="P273" s="429"/>
      <c r="Q273" s="429"/>
      <c r="R273" s="429"/>
      <c r="S273" s="429"/>
      <c r="T273" s="429"/>
      <c r="U273" s="429"/>
      <c r="V273" s="429"/>
      <c r="W273" s="429"/>
      <c r="X273" s="429"/>
      <c r="Y273" s="429"/>
      <c r="Z273" s="429"/>
      <c r="AA273" s="429"/>
      <c r="AB273" s="429"/>
      <c r="AC273" s="429"/>
      <c r="AD273" s="429"/>
      <c r="AE273" s="429"/>
    </row>
    <row r="274" spans="1:31">
      <c r="A274" s="429"/>
      <c r="B274" s="429"/>
      <c r="C274" s="429"/>
      <c r="D274" s="429"/>
      <c r="E274" s="429"/>
      <c r="F274" s="429"/>
      <c r="G274" s="429"/>
      <c r="H274" s="429"/>
      <c r="I274" s="429"/>
      <c r="J274" s="429"/>
      <c r="K274" s="429"/>
      <c r="L274" s="429"/>
      <c r="M274" s="429"/>
      <c r="N274" s="429"/>
      <c r="O274" s="429"/>
      <c r="P274" s="429"/>
      <c r="Q274" s="429"/>
      <c r="R274" s="429"/>
      <c r="S274" s="429"/>
      <c r="T274" s="429"/>
      <c r="U274" s="429"/>
      <c r="V274" s="429"/>
      <c r="W274" s="429"/>
      <c r="X274" s="429"/>
      <c r="Y274" s="429"/>
      <c r="Z274" s="429"/>
      <c r="AA274" s="429"/>
      <c r="AB274" s="429"/>
      <c r="AC274" s="429"/>
      <c r="AD274" s="429"/>
      <c r="AE274" s="429"/>
    </row>
    <row r="275" spans="1:31">
      <c r="A275" s="429"/>
      <c r="B275" s="429"/>
      <c r="C275" s="429"/>
      <c r="D275" s="429"/>
      <c r="E275" s="429"/>
      <c r="F275" s="429"/>
      <c r="G275" s="429"/>
      <c r="H275" s="429"/>
      <c r="I275" s="429"/>
      <c r="J275" s="429"/>
      <c r="K275" s="429"/>
      <c r="L275" s="429"/>
      <c r="M275" s="429"/>
      <c r="N275" s="429"/>
      <c r="O275" s="429"/>
      <c r="P275" s="429"/>
      <c r="Q275" s="429"/>
      <c r="R275" s="429"/>
      <c r="S275" s="429"/>
      <c r="T275" s="429"/>
      <c r="U275" s="429"/>
      <c r="V275" s="429"/>
      <c r="W275" s="429"/>
      <c r="X275" s="429"/>
      <c r="Y275" s="429"/>
      <c r="Z275" s="429"/>
      <c r="AA275" s="429"/>
      <c r="AB275" s="429"/>
      <c r="AC275" s="429"/>
      <c r="AD275" s="429"/>
      <c r="AE275" s="429"/>
    </row>
    <row r="276" spans="1:31">
      <c r="A276" s="429"/>
      <c r="B276" s="429"/>
      <c r="C276" s="429"/>
      <c r="D276" s="429"/>
      <c r="E276" s="429"/>
      <c r="F276" s="429"/>
      <c r="G276" s="429"/>
      <c r="H276" s="429"/>
      <c r="I276" s="429"/>
      <c r="J276" s="429"/>
      <c r="K276" s="429"/>
      <c r="L276" s="429"/>
      <c r="M276" s="429"/>
      <c r="N276" s="429"/>
      <c r="O276" s="429"/>
      <c r="P276" s="429"/>
      <c r="Q276" s="429"/>
      <c r="R276" s="429"/>
      <c r="S276" s="429"/>
      <c r="T276" s="429"/>
      <c r="U276" s="429"/>
      <c r="V276" s="429"/>
      <c r="W276" s="429"/>
      <c r="X276" s="429"/>
      <c r="Y276" s="429"/>
      <c r="Z276" s="429"/>
      <c r="AA276" s="429"/>
      <c r="AB276" s="429"/>
      <c r="AC276" s="429"/>
      <c r="AD276" s="429"/>
      <c r="AE276" s="429"/>
    </row>
    <row r="277" spans="1:31">
      <c r="A277" s="429"/>
      <c r="B277" s="429"/>
      <c r="C277" s="429"/>
      <c r="D277" s="429"/>
      <c r="E277" s="429"/>
      <c r="F277" s="429"/>
      <c r="G277" s="429"/>
      <c r="H277" s="429"/>
      <c r="I277" s="429"/>
      <c r="J277" s="429"/>
      <c r="K277" s="429"/>
      <c r="L277" s="429"/>
      <c r="M277" s="429"/>
      <c r="N277" s="429"/>
      <c r="O277" s="429"/>
      <c r="P277" s="429"/>
      <c r="Q277" s="429"/>
      <c r="R277" s="429"/>
      <c r="S277" s="429"/>
      <c r="T277" s="429"/>
      <c r="U277" s="429"/>
      <c r="V277" s="429"/>
      <c r="W277" s="429"/>
      <c r="X277" s="429"/>
      <c r="Y277" s="429"/>
      <c r="Z277" s="429"/>
      <c r="AA277" s="429"/>
      <c r="AB277" s="429"/>
      <c r="AC277" s="429"/>
      <c r="AD277" s="429"/>
      <c r="AE277" s="429"/>
    </row>
    <row r="278" spans="1:31">
      <c r="A278" s="429"/>
      <c r="B278" s="429"/>
      <c r="C278" s="429"/>
      <c r="D278" s="429"/>
      <c r="E278" s="429"/>
      <c r="F278" s="429"/>
      <c r="G278" s="429"/>
      <c r="H278" s="429"/>
      <c r="I278" s="429"/>
      <c r="J278" s="429"/>
      <c r="K278" s="429"/>
      <c r="L278" s="429"/>
      <c r="M278" s="429"/>
      <c r="N278" s="429"/>
      <c r="O278" s="429"/>
      <c r="P278" s="429"/>
      <c r="Q278" s="429"/>
      <c r="R278" s="429"/>
      <c r="S278" s="429"/>
      <c r="T278" s="429"/>
      <c r="U278" s="429"/>
      <c r="V278" s="429"/>
      <c r="W278" s="429"/>
      <c r="X278" s="429"/>
      <c r="Y278" s="429"/>
      <c r="Z278" s="429"/>
      <c r="AA278" s="429"/>
      <c r="AB278" s="429"/>
      <c r="AC278" s="429"/>
      <c r="AD278" s="429"/>
      <c r="AE278" s="429"/>
    </row>
    <row r="279" spans="1:31">
      <c r="A279" s="429"/>
      <c r="B279" s="429"/>
      <c r="C279" s="429"/>
      <c r="D279" s="429"/>
      <c r="E279" s="429"/>
      <c r="F279" s="429"/>
      <c r="G279" s="429"/>
      <c r="H279" s="429"/>
      <c r="I279" s="429"/>
      <c r="J279" s="429"/>
      <c r="K279" s="429"/>
      <c r="L279" s="429"/>
      <c r="M279" s="429"/>
      <c r="N279" s="429"/>
      <c r="O279" s="429"/>
      <c r="P279" s="429"/>
      <c r="Q279" s="429"/>
      <c r="R279" s="429"/>
      <c r="S279" s="429"/>
      <c r="T279" s="429"/>
      <c r="U279" s="429"/>
      <c r="V279" s="429"/>
      <c r="W279" s="429"/>
      <c r="X279" s="429"/>
      <c r="Y279" s="429"/>
      <c r="Z279" s="429"/>
      <c r="AA279" s="429"/>
      <c r="AB279" s="429"/>
      <c r="AC279" s="429"/>
      <c r="AD279" s="429"/>
      <c r="AE279" s="429"/>
    </row>
    <row r="280" spans="1:31">
      <c r="A280" s="429"/>
      <c r="B280" s="429"/>
      <c r="C280" s="429"/>
      <c r="D280" s="429"/>
      <c r="E280" s="429"/>
      <c r="F280" s="429"/>
      <c r="G280" s="429"/>
      <c r="H280" s="429"/>
      <c r="I280" s="429"/>
      <c r="J280" s="429"/>
      <c r="K280" s="429"/>
      <c r="L280" s="429"/>
      <c r="M280" s="429"/>
      <c r="N280" s="429"/>
      <c r="O280" s="429"/>
      <c r="P280" s="429"/>
      <c r="Q280" s="429"/>
      <c r="R280" s="429"/>
      <c r="S280" s="429"/>
      <c r="T280" s="429"/>
      <c r="U280" s="429"/>
      <c r="V280" s="429"/>
      <c r="W280" s="429"/>
      <c r="X280" s="429"/>
      <c r="Y280" s="429"/>
      <c r="Z280" s="429"/>
      <c r="AA280" s="429"/>
      <c r="AB280" s="429"/>
      <c r="AC280" s="429"/>
      <c r="AD280" s="429"/>
      <c r="AE280" s="429"/>
    </row>
    <row r="281" spans="1:31">
      <c r="A281" s="429"/>
      <c r="B281" s="429"/>
      <c r="C281" s="429"/>
      <c r="D281" s="429"/>
      <c r="E281" s="429"/>
      <c r="F281" s="429"/>
      <c r="G281" s="429"/>
      <c r="H281" s="429"/>
      <c r="I281" s="429"/>
      <c r="J281" s="429"/>
      <c r="K281" s="429"/>
      <c r="L281" s="429"/>
      <c r="M281" s="429"/>
      <c r="N281" s="429"/>
      <c r="O281" s="429"/>
      <c r="P281" s="429"/>
      <c r="Q281" s="429"/>
      <c r="R281" s="429"/>
      <c r="S281" s="429"/>
      <c r="T281" s="429"/>
      <c r="U281" s="429"/>
      <c r="V281" s="429"/>
      <c r="W281" s="429"/>
      <c r="X281" s="429"/>
      <c r="Y281" s="429"/>
      <c r="Z281" s="429"/>
      <c r="AA281" s="429"/>
      <c r="AB281" s="429"/>
      <c r="AC281" s="429"/>
      <c r="AD281" s="429"/>
      <c r="AE281" s="429"/>
    </row>
    <row r="282" spans="1:31">
      <c r="A282" s="429"/>
      <c r="B282" s="429"/>
      <c r="C282" s="429"/>
      <c r="D282" s="429"/>
      <c r="E282" s="429"/>
      <c r="F282" s="429"/>
      <c r="G282" s="429"/>
      <c r="H282" s="429"/>
      <c r="I282" s="429"/>
      <c r="J282" s="429"/>
      <c r="K282" s="429"/>
      <c r="L282" s="429"/>
      <c r="M282" s="429"/>
      <c r="N282" s="429"/>
      <c r="O282" s="429"/>
      <c r="P282" s="429"/>
      <c r="Q282" s="429"/>
      <c r="R282" s="429"/>
      <c r="S282" s="429"/>
      <c r="T282" s="429"/>
      <c r="U282" s="429"/>
      <c r="V282" s="429"/>
      <c r="W282" s="429"/>
      <c r="X282" s="429"/>
      <c r="Y282" s="429"/>
      <c r="Z282" s="429"/>
      <c r="AA282" s="429"/>
      <c r="AB282" s="429"/>
      <c r="AC282" s="429"/>
      <c r="AD282" s="429"/>
      <c r="AE282" s="429"/>
    </row>
    <row r="283" spans="1:31">
      <c r="A283" s="429"/>
      <c r="B283" s="429"/>
      <c r="C283" s="429"/>
      <c r="D283" s="429"/>
      <c r="E283" s="429"/>
      <c r="F283" s="429"/>
      <c r="G283" s="429"/>
      <c r="H283" s="429"/>
      <c r="I283" s="429"/>
      <c r="J283" s="429"/>
      <c r="K283" s="429"/>
      <c r="L283" s="429"/>
      <c r="M283" s="429"/>
      <c r="N283" s="429"/>
      <c r="O283" s="429"/>
      <c r="P283" s="429"/>
      <c r="Q283" s="429"/>
      <c r="R283" s="429"/>
      <c r="S283" s="429"/>
      <c r="T283" s="429"/>
      <c r="U283" s="429"/>
      <c r="V283" s="429"/>
      <c r="W283" s="429"/>
      <c r="X283" s="429"/>
      <c r="Y283" s="429"/>
      <c r="Z283" s="429"/>
      <c r="AA283" s="429"/>
      <c r="AB283" s="429"/>
      <c r="AC283" s="429"/>
      <c r="AD283" s="429"/>
      <c r="AE283" s="429"/>
    </row>
    <row r="284" spans="1:31">
      <c r="A284" s="429"/>
      <c r="B284" s="429"/>
      <c r="C284" s="429"/>
      <c r="D284" s="429"/>
      <c r="E284" s="429"/>
      <c r="F284" s="429"/>
      <c r="G284" s="429"/>
      <c r="H284" s="429"/>
      <c r="I284" s="429"/>
      <c r="J284" s="429"/>
      <c r="K284" s="429"/>
      <c r="L284" s="429"/>
      <c r="M284" s="429"/>
      <c r="N284" s="429"/>
      <c r="O284" s="429"/>
      <c r="P284" s="429"/>
      <c r="Q284" s="429"/>
      <c r="R284" s="429"/>
      <c r="S284" s="429"/>
      <c r="T284" s="429"/>
      <c r="U284" s="429"/>
      <c r="V284" s="429"/>
      <c r="W284" s="429"/>
      <c r="X284" s="429"/>
      <c r="Y284" s="429"/>
      <c r="Z284" s="429"/>
      <c r="AA284" s="429"/>
      <c r="AB284" s="429"/>
      <c r="AC284" s="429"/>
      <c r="AD284" s="429"/>
      <c r="AE284" s="429"/>
    </row>
    <row r="285" spans="1:31">
      <c r="A285" s="429"/>
      <c r="B285" s="429"/>
      <c r="C285" s="429"/>
      <c r="D285" s="429"/>
      <c r="E285" s="429"/>
      <c r="F285" s="429"/>
      <c r="G285" s="429"/>
      <c r="H285" s="429"/>
      <c r="I285" s="429"/>
      <c r="J285" s="429"/>
      <c r="K285" s="429"/>
      <c r="L285" s="429"/>
      <c r="M285" s="429"/>
      <c r="N285" s="429"/>
      <c r="O285" s="429"/>
      <c r="P285" s="429"/>
      <c r="Q285" s="429"/>
      <c r="R285" s="429"/>
      <c r="S285" s="429"/>
      <c r="T285" s="429"/>
      <c r="U285" s="429"/>
      <c r="V285" s="429"/>
      <c r="W285" s="429"/>
      <c r="X285" s="429"/>
      <c r="Y285" s="429"/>
      <c r="Z285" s="429"/>
      <c r="AA285" s="429"/>
      <c r="AB285" s="429"/>
      <c r="AC285" s="429"/>
      <c r="AD285" s="429"/>
      <c r="AE285" s="429"/>
    </row>
    <row r="286" spans="1:31">
      <c r="A286" s="429"/>
      <c r="B286" s="429"/>
      <c r="C286" s="429"/>
      <c r="D286" s="429"/>
      <c r="E286" s="429"/>
      <c r="F286" s="429"/>
      <c r="G286" s="429"/>
      <c r="H286" s="429"/>
      <c r="I286" s="429"/>
      <c r="J286" s="429"/>
      <c r="K286" s="429"/>
      <c r="L286" s="429"/>
      <c r="M286" s="429"/>
      <c r="N286" s="429"/>
      <c r="O286" s="429"/>
      <c r="P286" s="429"/>
      <c r="Q286" s="429"/>
      <c r="R286" s="429"/>
      <c r="S286" s="429"/>
      <c r="T286" s="429"/>
      <c r="U286" s="429"/>
      <c r="V286" s="429"/>
      <c r="W286" s="429"/>
      <c r="X286" s="429"/>
      <c r="Y286" s="429"/>
      <c r="Z286" s="429"/>
      <c r="AA286" s="429"/>
      <c r="AB286" s="429"/>
      <c r="AC286" s="429"/>
      <c r="AD286" s="429"/>
      <c r="AE286" s="429"/>
    </row>
    <row r="287" spans="1:31">
      <c r="A287" s="429"/>
      <c r="B287" s="429"/>
      <c r="C287" s="429"/>
      <c r="D287" s="429"/>
      <c r="E287" s="429"/>
      <c r="F287" s="429"/>
      <c r="G287" s="429"/>
      <c r="H287" s="429"/>
      <c r="I287" s="429"/>
      <c r="J287" s="429"/>
      <c r="K287" s="429"/>
      <c r="L287" s="429"/>
      <c r="M287" s="429"/>
      <c r="N287" s="429"/>
      <c r="O287" s="429"/>
      <c r="P287" s="429"/>
      <c r="Q287" s="429"/>
      <c r="R287" s="429"/>
      <c r="S287" s="429"/>
      <c r="T287" s="429"/>
      <c r="U287" s="429"/>
      <c r="V287" s="429"/>
      <c r="W287" s="429"/>
      <c r="X287" s="429"/>
      <c r="Y287" s="429"/>
      <c r="Z287" s="429"/>
      <c r="AA287" s="429"/>
      <c r="AB287" s="429"/>
      <c r="AC287" s="429"/>
      <c r="AD287" s="429"/>
      <c r="AE287" s="429"/>
    </row>
    <row r="288" spans="1:31">
      <c r="A288" s="429"/>
      <c r="B288" s="429"/>
      <c r="C288" s="429"/>
      <c r="D288" s="429"/>
      <c r="E288" s="429"/>
      <c r="F288" s="429"/>
      <c r="G288" s="429"/>
      <c r="H288" s="429"/>
      <c r="I288" s="429"/>
      <c r="J288" s="429"/>
      <c r="K288" s="429"/>
      <c r="L288" s="429"/>
      <c r="M288" s="429"/>
      <c r="N288" s="429"/>
      <c r="O288" s="429"/>
      <c r="P288" s="429"/>
      <c r="Q288" s="429"/>
      <c r="R288" s="429"/>
      <c r="S288" s="429"/>
      <c r="T288" s="429"/>
      <c r="U288" s="429"/>
      <c r="V288" s="429"/>
      <c r="W288" s="429"/>
      <c r="X288" s="429"/>
      <c r="Y288" s="429"/>
      <c r="Z288" s="429"/>
      <c r="AA288" s="429"/>
      <c r="AB288" s="429"/>
      <c r="AC288" s="429"/>
      <c r="AD288" s="429"/>
      <c r="AE288" s="429"/>
    </row>
    <row r="289" spans="1:31">
      <c r="A289" s="429"/>
      <c r="B289" s="429"/>
      <c r="C289" s="429"/>
      <c r="D289" s="429"/>
      <c r="E289" s="429"/>
      <c r="F289" s="429"/>
      <c r="G289" s="429"/>
      <c r="H289" s="429"/>
      <c r="I289" s="429"/>
      <c r="J289" s="429"/>
      <c r="K289" s="429"/>
      <c r="L289" s="429"/>
      <c r="M289" s="429"/>
      <c r="N289" s="429"/>
      <c r="O289" s="429"/>
      <c r="P289" s="429"/>
      <c r="Q289" s="429"/>
      <c r="R289" s="429"/>
      <c r="S289" s="429"/>
      <c r="T289" s="429"/>
      <c r="U289" s="429"/>
      <c r="V289" s="429"/>
      <c r="W289" s="429"/>
      <c r="X289" s="429"/>
      <c r="Y289" s="429"/>
      <c r="Z289" s="429"/>
      <c r="AA289" s="429"/>
      <c r="AB289" s="429"/>
      <c r="AC289" s="429"/>
      <c r="AD289" s="429"/>
      <c r="AE289" s="429"/>
    </row>
    <row r="290" spans="1:31">
      <c r="A290" s="429"/>
      <c r="B290" s="429"/>
      <c r="C290" s="429"/>
      <c r="D290" s="429"/>
      <c r="E290" s="429"/>
      <c r="F290" s="429"/>
      <c r="G290" s="429"/>
      <c r="H290" s="429"/>
      <c r="I290" s="429"/>
      <c r="J290" s="429"/>
      <c r="K290" s="429"/>
      <c r="L290" s="429"/>
      <c r="M290" s="429"/>
      <c r="N290" s="429"/>
      <c r="O290" s="429"/>
      <c r="P290" s="429"/>
      <c r="Q290" s="429"/>
      <c r="R290" s="429"/>
      <c r="S290" s="429"/>
      <c r="T290" s="429"/>
      <c r="U290" s="429"/>
      <c r="V290" s="429"/>
      <c r="W290" s="429"/>
      <c r="X290" s="429"/>
      <c r="Y290" s="429"/>
      <c r="Z290" s="429"/>
      <c r="AA290" s="429"/>
      <c r="AB290" s="429"/>
      <c r="AC290" s="429"/>
      <c r="AD290" s="429"/>
      <c r="AE290" s="429"/>
    </row>
    <row r="291" spans="1:31">
      <c r="A291" s="429"/>
      <c r="B291" s="429"/>
      <c r="C291" s="429"/>
      <c r="D291" s="429"/>
      <c r="E291" s="429"/>
      <c r="F291" s="429"/>
      <c r="G291" s="429"/>
      <c r="H291" s="429"/>
      <c r="I291" s="429"/>
      <c r="J291" s="429"/>
      <c r="K291" s="429"/>
      <c r="L291" s="429"/>
      <c r="M291" s="429"/>
      <c r="N291" s="429"/>
      <c r="O291" s="429"/>
      <c r="P291" s="429"/>
      <c r="Q291" s="429"/>
      <c r="R291" s="429"/>
      <c r="S291" s="429"/>
      <c r="T291" s="429"/>
      <c r="U291" s="429"/>
      <c r="V291" s="429"/>
      <c r="W291" s="429"/>
      <c r="X291" s="429"/>
      <c r="Y291" s="429"/>
      <c r="Z291" s="429"/>
      <c r="AA291" s="429"/>
      <c r="AB291" s="429"/>
      <c r="AC291" s="429"/>
      <c r="AD291" s="429"/>
      <c r="AE291" s="429"/>
    </row>
    <row r="292" spans="1:31">
      <c r="A292" s="429"/>
      <c r="B292" s="429"/>
      <c r="C292" s="429"/>
      <c r="D292" s="429"/>
      <c r="E292" s="429"/>
      <c r="F292" s="429"/>
      <c r="G292" s="429"/>
      <c r="H292" s="429"/>
      <c r="I292" s="429"/>
      <c r="J292" s="429"/>
      <c r="K292" s="429"/>
      <c r="L292" s="429"/>
      <c r="M292" s="429"/>
      <c r="N292" s="429"/>
      <c r="O292" s="429"/>
      <c r="P292" s="429"/>
      <c r="Q292" s="429"/>
      <c r="R292" s="429"/>
      <c r="S292" s="429"/>
      <c r="T292" s="429"/>
      <c r="U292" s="429"/>
      <c r="V292" s="429"/>
      <c r="W292" s="429"/>
      <c r="X292" s="429"/>
      <c r="Y292" s="429"/>
      <c r="Z292" s="429"/>
      <c r="AA292" s="429"/>
      <c r="AB292" s="429"/>
      <c r="AC292" s="429"/>
      <c r="AD292" s="429"/>
      <c r="AE292" s="429"/>
    </row>
    <row r="293" spans="1:31">
      <c r="A293" s="429"/>
      <c r="B293" s="429"/>
      <c r="C293" s="429"/>
      <c r="D293" s="429"/>
      <c r="E293" s="429"/>
      <c r="F293" s="429"/>
      <c r="G293" s="429"/>
      <c r="H293" s="429"/>
      <c r="I293" s="429"/>
      <c r="J293" s="429"/>
      <c r="K293" s="429"/>
      <c r="L293" s="429"/>
      <c r="M293" s="429"/>
      <c r="N293" s="429"/>
      <c r="O293" s="429"/>
      <c r="P293" s="429"/>
      <c r="Q293" s="429"/>
      <c r="R293" s="429"/>
      <c r="S293" s="429"/>
      <c r="T293" s="429"/>
      <c r="U293" s="429"/>
      <c r="V293" s="429"/>
      <c r="W293" s="429"/>
      <c r="X293" s="429"/>
      <c r="Y293" s="429"/>
      <c r="Z293" s="429"/>
      <c r="AA293" s="429"/>
      <c r="AB293" s="429"/>
      <c r="AC293" s="429"/>
      <c r="AD293" s="429"/>
      <c r="AE293" s="429"/>
    </row>
    <row r="294" spans="1:31">
      <c r="A294" s="429"/>
      <c r="B294" s="429"/>
      <c r="C294" s="429"/>
      <c r="D294" s="429"/>
      <c r="E294" s="429"/>
      <c r="F294" s="429"/>
      <c r="G294" s="429"/>
      <c r="H294" s="429"/>
      <c r="I294" s="429"/>
      <c r="J294" s="429"/>
      <c r="K294" s="429"/>
      <c r="L294" s="429"/>
      <c r="M294" s="429"/>
      <c r="N294" s="429"/>
      <c r="O294" s="429"/>
      <c r="P294" s="429"/>
      <c r="Q294" s="429"/>
      <c r="R294" s="429"/>
      <c r="S294" s="429"/>
      <c r="T294" s="429"/>
      <c r="U294" s="429"/>
      <c r="V294" s="429"/>
      <c r="W294" s="429"/>
      <c r="X294" s="429"/>
      <c r="Y294" s="429"/>
      <c r="Z294" s="429"/>
      <c r="AA294" s="429"/>
      <c r="AB294" s="429"/>
      <c r="AC294" s="429"/>
      <c r="AD294" s="429"/>
      <c r="AE294" s="429"/>
    </row>
    <row r="295" spans="1:31">
      <c r="A295" s="429"/>
      <c r="B295" s="429"/>
      <c r="C295" s="429"/>
      <c r="D295" s="429"/>
      <c r="E295" s="429"/>
      <c r="F295" s="429"/>
      <c r="G295" s="429"/>
      <c r="H295" s="429"/>
      <c r="I295" s="429"/>
      <c r="J295" s="429"/>
      <c r="K295" s="429"/>
      <c r="L295" s="429"/>
      <c r="M295" s="429"/>
      <c r="N295" s="429"/>
      <c r="O295" s="429"/>
      <c r="P295" s="429"/>
      <c r="Q295" s="429"/>
      <c r="R295" s="429"/>
      <c r="S295" s="429"/>
      <c r="T295" s="429"/>
      <c r="U295" s="429"/>
      <c r="V295" s="429"/>
      <c r="W295" s="429"/>
      <c r="X295" s="429"/>
      <c r="Y295" s="429"/>
      <c r="Z295" s="429"/>
      <c r="AA295" s="429"/>
      <c r="AB295" s="429"/>
      <c r="AC295" s="429"/>
      <c r="AD295" s="429"/>
      <c r="AE295" s="429"/>
    </row>
    <row r="296" spans="1:31">
      <c r="A296" s="429"/>
      <c r="B296" s="429"/>
      <c r="C296" s="429"/>
      <c r="D296" s="429"/>
      <c r="E296" s="429"/>
      <c r="F296" s="429"/>
      <c r="G296" s="429"/>
      <c r="H296" s="429"/>
      <c r="I296" s="429"/>
      <c r="J296" s="429"/>
      <c r="K296" s="429"/>
      <c r="L296" s="429"/>
      <c r="M296" s="429"/>
      <c r="N296" s="429"/>
      <c r="O296" s="429"/>
      <c r="P296" s="429"/>
      <c r="Q296" s="429"/>
      <c r="R296" s="429"/>
      <c r="S296" s="429"/>
      <c r="T296" s="429"/>
      <c r="U296" s="429"/>
      <c r="V296" s="429"/>
      <c r="W296" s="429"/>
      <c r="X296" s="429"/>
      <c r="Y296" s="429"/>
      <c r="Z296" s="429"/>
      <c r="AA296" s="429"/>
      <c r="AB296" s="429"/>
      <c r="AC296" s="429"/>
      <c r="AD296" s="429"/>
      <c r="AE296" s="429"/>
    </row>
    <row r="297" spans="1:31">
      <c r="A297" s="429"/>
      <c r="B297" s="429"/>
      <c r="C297" s="429"/>
      <c r="D297" s="429"/>
      <c r="E297" s="429"/>
      <c r="F297" s="429"/>
      <c r="G297" s="429"/>
      <c r="H297" s="429"/>
      <c r="I297" s="429"/>
      <c r="J297" s="429"/>
      <c r="K297" s="429"/>
      <c r="L297" s="429"/>
      <c r="M297" s="429"/>
      <c r="N297" s="429"/>
      <c r="O297" s="429"/>
      <c r="P297" s="429"/>
      <c r="Q297" s="429"/>
      <c r="R297" s="429"/>
      <c r="S297" s="429"/>
      <c r="T297" s="429"/>
      <c r="U297" s="429"/>
      <c r="V297" s="429"/>
      <c r="W297" s="429"/>
      <c r="X297" s="429"/>
      <c r="Y297" s="429"/>
      <c r="Z297" s="429"/>
      <c r="AA297" s="429"/>
      <c r="AB297" s="429"/>
      <c r="AC297" s="429"/>
      <c r="AD297" s="429"/>
      <c r="AE297" s="429"/>
    </row>
    <row r="298" spans="1:31">
      <c r="A298" s="429"/>
      <c r="B298" s="429"/>
      <c r="C298" s="429"/>
      <c r="D298" s="429"/>
      <c r="E298" s="429"/>
      <c r="F298" s="429"/>
      <c r="G298" s="429"/>
      <c r="H298" s="429"/>
      <c r="I298" s="429"/>
      <c r="J298" s="429"/>
      <c r="K298" s="429"/>
      <c r="L298" s="429"/>
      <c r="M298" s="429"/>
      <c r="N298" s="429"/>
      <c r="O298" s="429"/>
      <c r="P298" s="429"/>
      <c r="Q298" s="429"/>
      <c r="R298" s="429"/>
      <c r="S298" s="429"/>
      <c r="T298" s="429"/>
      <c r="U298" s="429"/>
      <c r="V298" s="429"/>
      <c r="W298" s="429"/>
      <c r="X298" s="429"/>
      <c r="Y298" s="429"/>
      <c r="Z298" s="429"/>
      <c r="AA298" s="429"/>
      <c r="AB298" s="429"/>
      <c r="AC298" s="429"/>
      <c r="AD298" s="429"/>
      <c r="AE298" s="429"/>
    </row>
    <row r="299" spans="1:31">
      <c r="A299" s="429"/>
      <c r="B299" s="429"/>
      <c r="C299" s="429"/>
      <c r="D299" s="429"/>
      <c r="E299" s="429"/>
      <c r="F299" s="429"/>
      <c r="G299" s="429"/>
      <c r="H299" s="429"/>
      <c r="I299" s="429"/>
      <c r="J299" s="429"/>
      <c r="K299" s="429"/>
      <c r="L299" s="429"/>
      <c r="M299" s="429"/>
      <c r="N299" s="429"/>
      <c r="O299" s="429"/>
      <c r="P299" s="429"/>
      <c r="Q299" s="429"/>
      <c r="R299" s="429"/>
      <c r="S299" s="429"/>
      <c r="T299" s="429"/>
      <c r="U299" s="429"/>
      <c r="V299" s="429"/>
      <c r="W299" s="429"/>
      <c r="X299" s="429"/>
      <c r="Y299" s="429"/>
      <c r="Z299" s="429"/>
      <c r="AA299" s="429"/>
      <c r="AB299" s="429"/>
      <c r="AC299" s="429"/>
      <c r="AD299" s="429"/>
      <c r="AE299" s="429"/>
    </row>
    <row r="300" spans="1:31">
      <c r="A300" s="429"/>
      <c r="B300" s="429"/>
      <c r="C300" s="429"/>
      <c r="D300" s="429"/>
      <c r="E300" s="429"/>
      <c r="F300" s="429"/>
      <c r="G300" s="429"/>
      <c r="H300" s="429"/>
      <c r="I300" s="429"/>
      <c r="J300" s="429"/>
      <c r="K300" s="429"/>
      <c r="L300" s="429"/>
      <c r="M300" s="429"/>
      <c r="N300" s="429"/>
      <c r="O300" s="429"/>
      <c r="P300" s="429"/>
      <c r="Q300" s="429"/>
      <c r="R300" s="429"/>
      <c r="S300" s="429"/>
      <c r="T300" s="429"/>
      <c r="U300" s="429"/>
      <c r="V300" s="429"/>
      <c r="W300" s="429"/>
      <c r="X300" s="429"/>
      <c r="Y300" s="429"/>
      <c r="Z300" s="429"/>
      <c r="AA300" s="429"/>
      <c r="AB300" s="429"/>
      <c r="AC300" s="429"/>
      <c r="AD300" s="429"/>
      <c r="AE300" s="429"/>
    </row>
    <row r="301" spans="1:31">
      <c r="A301" s="429"/>
      <c r="B301" s="429"/>
      <c r="C301" s="429"/>
      <c r="D301" s="429"/>
      <c r="E301" s="429"/>
      <c r="F301" s="429"/>
      <c r="G301" s="429"/>
      <c r="H301" s="429"/>
      <c r="I301" s="429"/>
      <c r="J301" s="429"/>
      <c r="K301" s="429"/>
      <c r="L301" s="429"/>
      <c r="M301" s="429"/>
      <c r="N301" s="429"/>
      <c r="O301" s="429"/>
      <c r="P301" s="429"/>
      <c r="Q301" s="429"/>
      <c r="R301" s="429"/>
      <c r="S301" s="429"/>
      <c r="T301" s="429"/>
      <c r="U301" s="429"/>
      <c r="V301" s="429"/>
      <c r="W301" s="429"/>
      <c r="X301" s="429"/>
      <c r="Y301" s="429"/>
      <c r="Z301" s="429"/>
      <c r="AA301" s="429"/>
      <c r="AB301" s="429"/>
      <c r="AC301" s="429"/>
      <c r="AD301" s="429"/>
      <c r="AE301" s="429"/>
    </row>
    <row r="302" spans="1:31">
      <c r="A302" s="429"/>
      <c r="B302" s="429"/>
      <c r="C302" s="429"/>
      <c r="D302" s="429"/>
      <c r="E302" s="429"/>
      <c r="F302" s="429"/>
      <c r="G302" s="429"/>
      <c r="H302" s="429"/>
      <c r="I302" s="429"/>
      <c r="J302" s="429"/>
      <c r="K302" s="429"/>
      <c r="L302" s="429"/>
      <c r="M302" s="429"/>
      <c r="N302" s="429"/>
      <c r="O302" s="429"/>
      <c r="P302" s="429"/>
      <c r="Q302" s="429"/>
      <c r="R302" s="429"/>
      <c r="S302" s="429"/>
      <c r="T302" s="429"/>
      <c r="U302" s="429"/>
      <c r="V302" s="429"/>
      <c r="W302" s="429"/>
      <c r="X302" s="429"/>
      <c r="Y302" s="429"/>
      <c r="Z302" s="429"/>
      <c r="AA302" s="429"/>
      <c r="AB302" s="429"/>
      <c r="AC302" s="429"/>
      <c r="AD302" s="429"/>
      <c r="AE302" s="429"/>
    </row>
    <row r="303" spans="1:31">
      <c r="A303" s="429"/>
      <c r="B303" s="429"/>
      <c r="C303" s="429"/>
      <c r="D303" s="429"/>
      <c r="E303" s="429"/>
      <c r="F303" s="429"/>
      <c r="G303" s="429"/>
      <c r="H303" s="429"/>
      <c r="I303" s="429"/>
      <c r="J303" s="429"/>
      <c r="K303" s="429"/>
      <c r="L303" s="429"/>
      <c r="M303" s="429"/>
      <c r="N303" s="429"/>
      <c r="O303" s="429"/>
      <c r="P303" s="429"/>
      <c r="Q303" s="429"/>
      <c r="R303" s="429"/>
      <c r="S303" s="429"/>
      <c r="T303" s="429"/>
      <c r="U303" s="429"/>
      <c r="V303" s="429"/>
      <c r="W303" s="429"/>
      <c r="X303" s="429"/>
      <c r="Y303" s="429"/>
      <c r="Z303" s="429"/>
      <c r="AA303" s="429"/>
      <c r="AB303" s="429"/>
      <c r="AC303" s="429"/>
      <c r="AD303" s="429"/>
      <c r="AE303" s="429"/>
    </row>
    <row r="304" spans="1:31">
      <c r="A304" s="429"/>
      <c r="B304" s="429"/>
      <c r="C304" s="429"/>
      <c r="D304" s="429"/>
      <c r="E304" s="429"/>
      <c r="F304" s="429"/>
      <c r="G304" s="429"/>
      <c r="H304" s="429"/>
      <c r="I304" s="429"/>
      <c r="J304" s="429"/>
      <c r="K304" s="429"/>
      <c r="L304" s="429"/>
      <c r="M304" s="429"/>
      <c r="N304" s="429"/>
      <c r="O304" s="429"/>
      <c r="P304" s="429"/>
      <c r="Q304" s="429"/>
      <c r="R304" s="429"/>
      <c r="S304" s="429"/>
      <c r="T304" s="429"/>
      <c r="U304" s="429"/>
      <c r="V304" s="429"/>
      <c r="W304" s="429"/>
      <c r="X304" s="429"/>
      <c r="Y304" s="429"/>
      <c r="Z304" s="429"/>
      <c r="AA304" s="429"/>
      <c r="AB304" s="429"/>
      <c r="AC304" s="429"/>
      <c r="AD304" s="429"/>
      <c r="AE304" s="429"/>
    </row>
    <row r="305" spans="1:31">
      <c r="A305" s="429"/>
      <c r="B305" s="429"/>
      <c r="C305" s="429"/>
      <c r="D305" s="429"/>
      <c r="E305" s="429"/>
      <c r="F305" s="429"/>
      <c r="G305" s="429"/>
      <c r="H305" s="429"/>
      <c r="I305" s="429"/>
      <c r="J305" s="429"/>
      <c r="K305" s="429"/>
      <c r="L305" s="429"/>
      <c r="M305" s="429"/>
      <c r="N305" s="429"/>
      <c r="O305" s="429"/>
      <c r="P305" s="429"/>
      <c r="Q305" s="429"/>
      <c r="R305" s="429"/>
      <c r="S305" s="429"/>
      <c r="T305" s="429"/>
      <c r="U305" s="429"/>
      <c r="V305" s="429"/>
      <c r="W305" s="429"/>
      <c r="X305" s="429"/>
      <c r="Y305" s="429"/>
      <c r="Z305" s="429"/>
      <c r="AA305" s="429"/>
      <c r="AB305" s="429"/>
      <c r="AC305" s="429"/>
      <c r="AD305" s="429"/>
      <c r="AE305" s="429"/>
    </row>
    <row r="306" spans="1:31">
      <c r="A306" s="429"/>
      <c r="B306" s="429"/>
      <c r="C306" s="429"/>
      <c r="D306" s="429"/>
      <c r="E306" s="429"/>
      <c r="F306" s="429"/>
      <c r="G306" s="429"/>
      <c r="H306" s="429"/>
      <c r="I306" s="429"/>
      <c r="J306" s="429"/>
      <c r="K306" s="429"/>
      <c r="L306" s="429"/>
      <c r="M306" s="429"/>
      <c r="N306" s="429"/>
      <c r="O306" s="429"/>
      <c r="P306" s="429"/>
      <c r="Q306" s="429"/>
      <c r="R306" s="429"/>
      <c r="S306" s="429"/>
      <c r="T306" s="429"/>
      <c r="U306" s="429"/>
      <c r="V306" s="429"/>
      <c r="W306" s="429"/>
      <c r="X306" s="429"/>
      <c r="Y306" s="429"/>
      <c r="Z306" s="429"/>
      <c r="AA306" s="429"/>
      <c r="AB306" s="429"/>
      <c r="AC306" s="429"/>
      <c r="AD306" s="429"/>
      <c r="AE306" s="429"/>
    </row>
    <row r="307" spans="1:31">
      <c r="A307" s="429"/>
      <c r="B307" s="429"/>
      <c r="C307" s="429"/>
      <c r="D307" s="429"/>
      <c r="E307" s="429"/>
      <c r="F307" s="429"/>
      <c r="G307" s="429"/>
      <c r="H307" s="429"/>
      <c r="I307" s="429"/>
      <c r="J307" s="429"/>
      <c r="K307" s="429"/>
      <c r="L307" s="429"/>
      <c r="M307" s="429"/>
      <c r="N307" s="429"/>
      <c r="O307" s="429"/>
      <c r="P307" s="429"/>
      <c r="Q307" s="429"/>
      <c r="R307" s="429"/>
      <c r="S307" s="429"/>
      <c r="T307" s="429"/>
      <c r="U307" s="429"/>
      <c r="V307" s="429"/>
      <c r="W307" s="429"/>
      <c r="X307" s="429"/>
      <c r="Y307" s="429"/>
      <c r="Z307" s="429"/>
      <c r="AA307" s="429"/>
      <c r="AB307" s="429"/>
      <c r="AC307" s="429"/>
      <c r="AD307" s="429"/>
      <c r="AE307" s="429"/>
    </row>
    <row r="308" spans="1:31">
      <c r="A308" s="429"/>
      <c r="B308" s="429"/>
      <c r="C308" s="429"/>
      <c r="D308" s="429"/>
      <c r="E308" s="429"/>
      <c r="F308" s="429"/>
      <c r="G308" s="429"/>
      <c r="H308" s="429"/>
      <c r="I308" s="429"/>
      <c r="J308" s="429"/>
      <c r="K308" s="429"/>
      <c r="L308" s="429"/>
      <c r="M308" s="429"/>
      <c r="N308" s="429"/>
      <c r="O308" s="429"/>
      <c r="P308" s="429"/>
      <c r="Q308" s="429"/>
      <c r="R308" s="429"/>
      <c r="S308" s="429"/>
      <c r="T308" s="429"/>
      <c r="U308" s="429"/>
      <c r="V308" s="429"/>
      <c r="W308" s="429"/>
      <c r="X308" s="429"/>
      <c r="Y308" s="429"/>
      <c r="Z308" s="429"/>
      <c r="AA308" s="429"/>
      <c r="AB308" s="429"/>
      <c r="AC308" s="429"/>
      <c r="AD308" s="429"/>
      <c r="AE308" s="429"/>
    </row>
    <row r="309" spans="1:31">
      <c r="A309" s="429"/>
      <c r="B309" s="429"/>
      <c r="C309" s="429"/>
      <c r="D309" s="429"/>
      <c r="E309" s="429"/>
      <c r="F309" s="429"/>
      <c r="G309" s="429"/>
      <c r="H309" s="429"/>
      <c r="I309" s="429"/>
      <c r="J309" s="429"/>
      <c r="K309" s="429"/>
      <c r="L309" s="429"/>
      <c r="M309" s="429"/>
      <c r="N309" s="429"/>
      <c r="O309" s="429"/>
      <c r="P309" s="429"/>
      <c r="Q309" s="429"/>
      <c r="R309" s="429"/>
      <c r="S309" s="429"/>
      <c r="T309" s="429"/>
      <c r="U309" s="429"/>
      <c r="V309" s="429"/>
      <c r="W309" s="429"/>
      <c r="X309" s="429"/>
      <c r="Y309" s="429"/>
      <c r="Z309" s="429"/>
      <c r="AA309" s="429"/>
      <c r="AB309" s="429"/>
      <c r="AC309" s="429"/>
      <c r="AD309" s="429"/>
      <c r="AE309" s="429"/>
    </row>
    <row r="310" spans="1:31">
      <c r="A310" s="429"/>
      <c r="B310" s="429"/>
      <c r="C310" s="429"/>
      <c r="D310" s="429"/>
      <c r="E310" s="429"/>
      <c r="F310" s="429"/>
      <c r="G310" s="429"/>
      <c r="H310" s="429"/>
      <c r="I310" s="429"/>
      <c r="J310" s="429"/>
      <c r="K310" s="429"/>
      <c r="L310" s="429"/>
      <c r="M310" s="429"/>
      <c r="N310" s="429"/>
      <c r="O310" s="429"/>
      <c r="P310" s="429"/>
      <c r="Q310" s="429"/>
      <c r="R310" s="429"/>
      <c r="S310" s="429"/>
      <c r="T310" s="429"/>
      <c r="U310" s="429"/>
      <c r="V310" s="429"/>
      <c r="W310" s="429"/>
      <c r="X310" s="429"/>
      <c r="Y310" s="429"/>
      <c r="Z310" s="429"/>
      <c r="AA310" s="429"/>
      <c r="AB310" s="429"/>
      <c r="AC310" s="429"/>
      <c r="AD310" s="429"/>
      <c r="AE310" s="429"/>
    </row>
    <row r="311" spans="1:31">
      <c r="A311" s="429"/>
      <c r="B311" s="429"/>
      <c r="C311" s="429"/>
      <c r="D311" s="429"/>
      <c r="E311" s="429"/>
      <c r="F311" s="429"/>
      <c r="G311" s="429"/>
      <c r="H311" s="429"/>
      <c r="I311" s="429"/>
      <c r="J311" s="429"/>
      <c r="K311" s="429"/>
      <c r="L311" s="429"/>
      <c r="M311" s="429"/>
      <c r="N311" s="429"/>
      <c r="O311" s="429"/>
      <c r="P311" s="429"/>
      <c r="Q311" s="429"/>
      <c r="R311" s="429"/>
      <c r="S311" s="429"/>
      <c r="T311" s="429"/>
      <c r="U311" s="429"/>
      <c r="V311" s="429"/>
      <c r="W311" s="429"/>
      <c r="X311" s="429"/>
      <c r="Y311" s="429"/>
      <c r="Z311" s="429"/>
      <c r="AA311" s="429"/>
      <c r="AB311" s="429"/>
      <c r="AC311" s="429"/>
      <c r="AD311" s="429"/>
      <c r="AE311" s="429"/>
    </row>
    <row r="312" spans="1:31">
      <c r="A312" s="429"/>
      <c r="B312" s="429"/>
      <c r="C312" s="429"/>
      <c r="D312" s="429"/>
      <c r="E312" s="429"/>
      <c r="F312" s="429"/>
      <c r="G312" s="429"/>
      <c r="H312" s="429"/>
      <c r="I312" s="429"/>
      <c r="J312" s="429"/>
      <c r="K312" s="429"/>
      <c r="L312" s="429"/>
      <c r="M312" s="429"/>
      <c r="N312" s="429"/>
      <c r="O312" s="429"/>
      <c r="P312" s="429"/>
      <c r="Q312" s="429"/>
      <c r="R312" s="429"/>
      <c r="S312" s="429"/>
      <c r="T312" s="429"/>
      <c r="U312" s="429"/>
      <c r="V312" s="429"/>
      <c r="W312" s="429"/>
      <c r="X312" s="429"/>
      <c r="Y312" s="429"/>
      <c r="Z312" s="429"/>
      <c r="AA312" s="429"/>
      <c r="AB312" s="429"/>
      <c r="AC312" s="429"/>
      <c r="AD312" s="429"/>
      <c r="AE312" s="429"/>
    </row>
    <row r="313" spans="1:31">
      <c r="A313" s="429"/>
      <c r="B313" s="429"/>
      <c r="C313" s="429"/>
      <c r="D313" s="429"/>
      <c r="E313" s="429"/>
      <c r="F313" s="429"/>
      <c r="G313" s="429"/>
      <c r="H313" s="429"/>
      <c r="I313" s="429"/>
      <c r="J313" s="429"/>
      <c r="K313" s="429"/>
      <c r="L313" s="429"/>
      <c r="M313" s="429"/>
      <c r="N313" s="429"/>
      <c r="O313" s="429"/>
      <c r="P313" s="429"/>
      <c r="Q313" s="429"/>
      <c r="R313" s="429"/>
      <c r="S313" s="429"/>
      <c r="T313" s="429"/>
      <c r="U313" s="429"/>
      <c r="V313" s="429"/>
      <c r="W313" s="429"/>
      <c r="X313" s="429"/>
      <c r="Y313" s="429"/>
      <c r="Z313" s="429"/>
      <c r="AA313" s="429"/>
      <c r="AB313" s="429"/>
      <c r="AC313" s="429"/>
      <c r="AD313" s="429"/>
    </row>
    <row r="314" spans="1:31">
      <c r="A314" s="429"/>
      <c r="B314" s="429"/>
      <c r="C314" s="429"/>
      <c r="D314" s="429"/>
      <c r="E314" s="429"/>
      <c r="F314" s="429"/>
      <c r="G314" s="429"/>
      <c r="H314" s="429"/>
      <c r="I314" s="429"/>
      <c r="J314" s="429"/>
      <c r="K314" s="429"/>
      <c r="L314" s="429"/>
      <c r="M314" s="429"/>
      <c r="N314" s="429"/>
      <c r="O314" s="429"/>
      <c r="P314" s="429"/>
      <c r="Q314" s="429"/>
      <c r="R314" s="429"/>
      <c r="S314" s="429"/>
      <c r="T314" s="429"/>
      <c r="U314" s="429"/>
      <c r="V314" s="429"/>
      <c r="W314" s="429"/>
      <c r="X314" s="429"/>
      <c r="Y314" s="429"/>
      <c r="Z314" s="429"/>
      <c r="AA314" s="429"/>
      <c r="AB314" s="429"/>
      <c r="AC314" s="429"/>
      <c r="AD314" s="429"/>
    </row>
    <row r="315" spans="1:31">
      <c r="A315" s="429"/>
      <c r="B315" s="429"/>
      <c r="C315" s="429"/>
      <c r="D315" s="429"/>
      <c r="E315" s="429"/>
      <c r="F315" s="429"/>
      <c r="G315" s="429"/>
      <c r="H315" s="429"/>
      <c r="I315" s="429"/>
      <c r="J315" s="429"/>
      <c r="K315" s="429"/>
      <c r="L315" s="429"/>
      <c r="M315" s="429"/>
      <c r="N315" s="429"/>
      <c r="O315" s="429"/>
      <c r="P315" s="429"/>
      <c r="Q315" s="429"/>
      <c r="R315" s="429"/>
      <c r="S315" s="429"/>
      <c r="T315" s="429"/>
      <c r="U315" s="429"/>
      <c r="V315" s="429"/>
      <c r="W315" s="429"/>
      <c r="X315" s="429"/>
      <c r="Y315" s="429"/>
      <c r="Z315" s="429"/>
      <c r="AA315" s="429"/>
      <c r="AB315" s="429"/>
      <c r="AC315" s="429"/>
      <c r="AD315" s="429"/>
    </row>
    <row r="316" spans="1:31">
      <c r="A316" s="429"/>
      <c r="B316" s="429"/>
      <c r="C316" s="429"/>
      <c r="D316" s="429"/>
      <c r="E316" s="429"/>
      <c r="F316" s="429"/>
      <c r="G316" s="429"/>
      <c r="H316" s="429"/>
      <c r="I316" s="429"/>
      <c r="J316" s="429"/>
      <c r="K316" s="429"/>
      <c r="L316" s="429"/>
      <c r="M316" s="429"/>
      <c r="N316" s="429"/>
      <c r="O316" s="429"/>
      <c r="P316" s="429"/>
      <c r="Q316" s="429"/>
      <c r="R316" s="429"/>
      <c r="S316" s="429"/>
      <c r="T316" s="429"/>
      <c r="U316" s="429"/>
      <c r="V316" s="429"/>
      <c r="W316" s="429"/>
      <c r="X316" s="429"/>
      <c r="Y316" s="429"/>
      <c r="Z316" s="429"/>
      <c r="AA316" s="429"/>
      <c r="AB316" s="429"/>
      <c r="AC316" s="429"/>
      <c r="AD316" s="429"/>
    </row>
    <row r="317" spans="1:31">
      <c r="A317" s="429"/>
      <c r="B317" s="429"/>
      <c r="C317" s="429"/>
      <c r="D317" s="429"/>
      <c r="E317" s="429"/>
      <c r="F317" s="429"/>
      <c r="G317" s="429"/>
      <c r="H317" s="429"/>
      <c r="I317" s="429"/>
      <c r="J317" s="429"/>
      <c r="K317" s="429"/>
      <c r="L317" s="429"/>
      <c r="M317" s="429"/>
      <c r="N317" s="429"/>
      <c r="O317" s="429"/>
      <c r="P317" s="429"/>
      <c r="Q317" s="429"/>
      <c r="R317" s="429"/>
      <c r="S317" s="429"/>
      <c r="T317" s="429"/>
      <c r="U317" s="429"/>
      <c r="V317" s="429"/>
      <c r="W317" s="429"/>
      <c r="X317" s="429"/>
      <c r="Y317" s="429"/>
      <c r="Z317" s="429"/>
      <c r="AA317" s="429"/>
      <c r="AB317" s="429"/>
      <c r="AC317" s="429"/>
      <c r="AD317" s="429"/>
    </row>
    <row r="318" spans="1:31">
      <c r="A318" s="429"/>
      <c r="B318" s="429"/>
      <c r="C318" s="429"/>
      <c r="D318" s="429"/>
      <c r="E318" s="429"/>
      <c r="F318" s="429"/>
      <c r="G318" s="429"/>
      <c r="H318" s="429"/>
      <c r="I318" s="429"/>
      <c r="J318" s="429"/>
      <c r="K318" s="429"/>
      <c r="L318" s="429"/>
      <c r="M318" s="429"/>
      <c r="N318" s="429"/>
      <c r="O318" s="429"/>
      <c r="P318" s="429"/>
      <c r="Q318" s="429"/>
      <c r="R318" s="429"/>
      <c r="S318" s="429"/>
      <c r="T318" s="429"/>
      <c r="U318" s="429"/>
      <c r="V318" s="429"/>
      <c r="W318" s="429"/>
      <c r="X318" s="429"/>
      <c r="Y318" s="429"/>
      <c r="Z318" s="429"/>
      <c r="AA318" s="429"/>
      <c r="AB318" s="429"/>
      <c r="AC318" s="429"/>
      <c r="AD318" s="429"/>
    </row>
    <row r="319" spans="1:31">
      <c r="A319" s="429"/>
      <c r="B319" s="429"/>
      <c r="C319" s="429"/>
      <c r="D319" s="429"/>
      <c r="E319" s="429"/>
      <c r="F319" s="429"/>
      <c r="G319" s="429"/>
      <c r="H319" s="429"/>
      <c r="I319" s="429"/>
      <c r="J319" s="429"/>
      <c r="K319" s="429"/>
      <c r="L319" s="429"/>
      <c r="M319" s="429"/>
      <c r="N319" s="429"/>
      <c r="O319" s="429"/>
      <c r="P319" s="429"/>
      <c r="Q319" s="429"/>
      <c r="R319" s="429"/>
      <c r="S319" s="429"/>
      <c r="T319" s="429"/>
      <c r="U319" s="429"/>
      <c r="V319" s="429"/>
      <c r="W319" s="429"/>
      <c r="X319" s="429"/>
      <c r="Y319" s="429"/>
      <c r="Z319" s="429"/>
      <c r="AA319" s="429"/>
      <c r="AB319" s="429"/>
      <c r="AC319" s="429"/>
      <c r="AD319" s="429"/>
    </row>
  </sheetData>
  <sheetProtection insertColumns="0" insertRows="0" sort="0" autoFilter="0" pivotTables="0"/>
  <mergeCells count="20">
    <mergeCell ref="O9:Q9"/>
    <mergeCell ref="R9:T9"/>
    <mergeCell ref="F8:H8"/>
    <mergeCell ref="I8:K8"/>
    <mergeCell ref="F7:H7"/>
    <mergeCell ref="I7:K7"/>
    <mergeCell ref="F9:H9"/>
    <mergeCell ref="I9:K9"/>
    <mergeCell ref="L9:N9"/>
    <mergeCell ref="AM32:AN32"/>
    <mergeCell ref="AG9:AO9"/>
    <mergeCell ref="U7:W7"/>
    <mergeCell ref="X7:Z7"/>
    <mergeCell ref="AA7:AC7"/>
    <mergeCell ref="U9:W9"/>
    <mergeCell ref="X9:Z9"/>
    <mergeCell ref="AA9:AC9"/>
    <mergeCell ref="U8:W8"/>
    <mergeCell ref="X8:Z8"/>
    <mergeCell ref="AA8:AC8"/>
  </mergeCells>
  <phoneticPr fontId="5" type="noConversion"/>
  <dataValidations xWindow="336" yWindow="471" count="7">
    <dataValidation type="list" showInputMessage="1" showErrorMessage="1" promptTitle="Salary Cap: " prompt="FY21_x000a_NIH - $199,300_x000a_US DOJ - $219,230_x000a_PCORI - $200,000" sqref="B3" xr:uid="{00000000-0002-0000-0000-000000000000}">
      <formula1>"$199300, $219230, $200000, none"</formula1>
    </dataValidation>
    <dataValidation allowBlank="1" showInputMessage="1" showErrorMessage="1" promptTitle="Select your Fringe Rate" prompt="Faculty                         - 26.8%_x000a_COM Clinical Faculty - 18.8%" sqref="C10" xr:uid="{00000000-0002-0000-0000-000001000000}"/>
    <dataValidation allowBlank="1" showInputMessage="1" showErrorMessage="1" promptTitle="Select your Fringe Rate" prompt="Exempt TEAMS/USPS         - 35.70%_x000a_Non-Exempt TEAMS/USPS - 48.60%_x000a_Clinical Post Doc                - 23.40%_x000a_Regular Post Doc               - 12.10%_x000a_Grad Assistants                 - 12.10%_x000a_OPS/Fed Work Study         - 1.60%_x000a_OPS Other/Temp Faculty - 5.70%_x000a_" sqref="C21" xr:uid="{00000000-0002-0000-0000-000002000000}"/>
    <dataValidation allowBlank="1" showInputMessage="1" showErrorMessage="1" promptTitle="Select your Personnel's Role" prompt="Exempt TEAMS/USPS         - 35.70%_x000a_Non-Exempt TEAMS/USPS - 48.60%_x000a_Clinical Post Doc                - 23.40%_x000a_Regular Post Doc               - 12.10%_x000a_Grad Assistants                 - 12.10%_x000a_OPS/Fed Work Study         - 1.60%_x000a_OPS Other/Temp Faculty - 5.70%_x000a_" sqref="B21" xr:uid="{00000000-0002-0000-0000-000003000000}"/>
    <dataValidation allowBlank="1" showInputMessage="1" showErrorMessage="1" promptTitle="Select your Personnel Role" prompt="Faculty                         - 26.8%_x000a_COM Clinical Faculty - 18.8%" sqref="B10" xr:uid="{00000000-0002-0000-0000-000004000000}"/>
    <dataValidation showInputMessage="1" showErrorMessage="1" sqref="C3" xr:uid="{00000000-0002-0000-0000-000005000000}"/>
    <dataValidation allowBlank="1" showInputMessage="1" showErrorMessage="1" error="Do not edit this number. Changing the project dates will automatically change this number. " prompt="Do not edit this number. Changing the dates will automatically change this number. " sqref="B7" xr:uid="{00000000-0002-0000-0000-000006000000}"/>
  </dataValidations>
  <hyperlinks>
    <hyperlink ref="A65" r:id="rId1" xr:uid="{00000000-0004-0000-0000-000000000000}"/>
    <hyperlink ref="A48" r:id="rId2" display="OTHER EXPENSES:" xr:uid="{00000000-0004-0000-0000-000001000000}"/>
    <hyperlink ref="A3" r:id="rId3" xr:uid="{00000000-0004-0000-0000-000002000000}"/>
    <hyperlink ref="A10" r:id="rId4" display="Faculty:" xr:uid="{00000000-0004-0000-0000-000003000000}"/>
    <hyperlink ref="F49" r:id="rId5" display="Tuition" xr:uid="{00000000-0004-0000-0000-000004000000}"/>
    <hyperlink ref="F50" r:id="rId6" display="Consortium/Subcontract" xr:uid="{00000000-0004-0000-0000-000005000000}"/>
    <hyperlink ref="C10" r:id="rId7" xr:uid="{00000000-0004-0000-0000-000006000000}"/>
    <hyperlink ref="C21" r:id="rId8" xr:uid="{00000000-0004-0000-0000-000007000000}"/>
    <hyperlink ref="F48" r:id="rId9" xr:uid="{00000000-0004-0000-0000-000008000000}"/>
  </hyperlinks>
  <pageMargins left="0.75" right="0.75" top="1" bottom="1" header="0.5" footer="0.5"/>
  <pageSetup scale="43" orientation="portrait" horizontalDpi="4294967292" verticalDpi="4294967292" r:id="rId10"/>
  <extLst>
    <ext xmlns:x14="http://schemas.microsoft.com/office/spreadsheetml/2009/9/main" uri="{CCE6A557-97BC-4b89-ADB6-D9C93CAAB3DF}">
      <x14:dataValidations xmlns:xm="http://schemas.microsoft.com/office/excel/2006/main" xWindow="336" yWindow="471" count="6">
        <x14:dataValidation type="list" allowBlank="1" showInputMessage="1" showErrorMessage="1" prompt="Special permission is needed to budget in these categories - please contact your RA." xr:uid="{00000000-0002-0000-0000-000007000000}">
          <x14:formula1>
            <xm:f>'Effort and OPS Salary'!$B$25:$B$32</xm:f>
          </x14:formula1>
          <xm:sqref>F51</xm:sqref>
        </x14:dataValidation>
        <x14:dataValidation type="list" allowBlank="1" showInputMessage="1" showErrorMessage="1" xr:uid="{00000000-0002-0000-0000-000008000000}">
          <x14:formula1>
            <xm:f>'Effort and OPS Salary'!$C$14:$C$15</xm:f>
          </x14:formula1>
          <xm:sqref>C11:C20</xm:sqref>
        </x14:dataValidation>
        <x14:dataValidation type="list" allowBlank="1" showInputMessage="1" showErrorMessage="1" xr:uid="{00000000-0002-0000-0000-000009000000}">
          <x14:formula1>
            <xm:f>'Effort and OPS Salary'!$B$14:$B$15</xm:f>
          </x14:formula1>
          <xm:sqref>B11:B20</xm:sqref>
        </x14:dataValidation>
        <x14:dataValidation type="list" allowBlank="1" showInputMessage="1" showErrorMessage="1" promptTitle="Choose the Salary Plan" xr:uid="{00000000-0002-0000-0000-00000A000000}">
          <x14:formula1>
            <xm:f>'Effort and OPS Salary'!$B$14:$B$22</xm:f>
          </x14:formula1>
          <xm:sqref>B22:B31</xm:sqref>
        </x14:dataValidation>
        <x14:dataValidation type="list" allowBlank="1" showInputMessage="1" showErrorMessage="1" xr:uid="{00000000-0002-0000-0000-00000B000000}">
          <x14:formula1>
            <xm:f>'Effort and OPS Salary'!$C$14:$C$22</xm:f>
          </x14:formula1>
          <xm:sqref>C22:C31</xm:sqref>
        </x14:dataValidation>
        <x14:dataValidation type="list" allowBlank="1" showInputMessage="1" xr:uid="{00000000-0002-0000-0000-00000C000000}">
          <x14:formula1>
            <xm:f>'Effort and OPS Salary'!$E$12:$E$20</xm:f>
          </x14:formula1>
          <xm:sqref>F36:F45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Z40"/>
  <sheetViews>
    <sheetView zoomScale="80" zoomScaleNormal="80" workbookViewId="0">
      <selection activeCell="J32" sqref="J32"/>
    </sheetView>
  </sheetViews>
  <sheetFormatPr defaultColWidth="9" defaultRowHeight="15" outlineLevelCol="1"/>
  <cols>
    <col min="1" max="1" width="9" style="1"/>
    <col min="2" max="2" width="21.69921875" style="1" customWidth="1"/>
    <col min="3" max="3" width="14.8984375" style="1" customWidth="1"/>
    <col min="4" max="4" width="11.09765625" style="1" customWidth="1"/>
    <col min="5" max="5" width="10.19921875" style="1" customWidth="1"/>
    <col min="6" max="6" width="14.19921875" style="1" customWidth="1"/>
    <col min="7" max="7" width="14" style="1" customWidth="1"/>
    <col min="8" max="8" width="12.3984375" style="1" bestFit="1" customWidth="1"/>
    <col min="9" max="9" width="17.19921875" style="1" customWidth="1"/>
    <col min="10" max="10" width="17.09765625" style="1" customWidth="1"/>
    <col min="11" max="11" width="13.09765625" style="1" customWidth="1"/>
    <col min="12" max="12" width="17.59765625" style="1" bestFit="1" customWidth="1"/>
    <col min="13" max="13" width="9.09765625" style="1" bestFit="1" customWidth="1"/>
    <col min="14" max="14" width="17.59765625" style="1" bestFit="1" customWidth="1"/>
    <col min="15" max="15" width="7.69921875" style="1" bestFit="1" customWidth="1"/>
    <col min="16" max="16" width="17.59765625" style="1" bestFit="1" customWidth="1"/>
    <col min="17" max="17" width="9" style="1"/>
    <col min="18" max="18" width="17.59765625" style="1" bestFit="1" customWidth="1"/>
    <col min="19" max="19" width="9" style="1"/>
    <col min="20" max="20" width="17.19921875" style="1" hidden="1" customWidth="1" outlineLevel="1"/>
    <col min="21" max="21" width="0" style="1" hidden="1" customWidth="1" outlineLevel="1"/>
    <col min="22" max="22" width="17.19921875" style="1" hidden="1" customWidth="1" outlineLevel="1"/>
    <col min="23" max="23" width="0" style="1" hidden="1" customWidth="1" outlineLevel="1"/>
    <col min="24" max="24" width="17.19921875" style="1" hidden="1" customWidth="1" outlineLevel="1"/>
    <col min="25" max="25" width="0" style="1" hidden="1" customWidth="1" outlineLevel="1"/>
    <col min="26" max="26" width="9" style="1" collapsed="1"/>
    <col min="27" max="16384" width="9" style="1"/>
  </cols>
  <sheetData>
    <row r="2" spans="2:25">
      <c r="B2" s="1" t="s">
        <v>225</v>
      </c>
    </row>
    <row r="3" spans="2:25">
      <c r="B3" s="458" t="s">
        <v>226</v>
      </c>
    </row>
    <row r="4" spans="2:25" ht="30.6" customHeight="1">
      <c r="B4" s="521" t="s">
        <v>232</v>
      </c>
      <c r="C4" s="521"/>
      <c r="D4" s="521"/>
      <c r="E4" s="521"/>
      <c r="F4" s="521"/>
      <c r="G4" s="521"/>
      <c r="I4" s="318" t="s">
        <v>26</v>
      </c>
      <c r="J4" s="514" t="s">
        <v>1</v>
      </c>
      <c r="K4" s="514"/>
      <c r="L4" s="514" t="s">
        <v>2</v>
      </c>
      <c r="M4" s="514"/>
      <c r="N4" s="514" t="s">
        <v>3</v>
      </c>
      <c r="O4" s="514"/>
      <c r="P4" s="514" t="s">
        <v>4</v>
      </c>
      <c r="Q4" s="514"/>
      <c r="R4" s="514" t="s">
        <v>5</v>
      </c>
      <c r="S4" s="514"/>
      <c r="T4" s="514" t="s">
        <v>106</v>
      </c>
      <c r="U4" s="514"/>
      <c r="V4" s="514" t="s">
        <v>107</v>
      </c>
      <c r="W4" s="514"/>
      <c r="X4" s="514" t="s">
        <v>108</v>
      </c>
      <c r="Y4" s="514"/>
    </row>
    <row r="5" spans="2:25">
      <c r="B5" s="515" t="s">
        <v>227</v>
      </c>
      <c r="C5" s="515"/>
      <c r="D5" s="459" t="s">
        <v>228</v>
      </c>
      <c r="E5" s="459" t="s">
        <v>224</v>
      </c>
      <c r="F5" s="459" t="s">
        <v>80</v>
      </c>
      <c r="G5" s="459" t="s">
        <v>81</v>
      </c>
      <c r="I5" s="2"/>
      <c r="J5" s="433">
        <f>I11*1.03</f>
        <v>0</v>
      </c>
      <c r="K5" s="434"/>
      <c r="L5" s="435">
        <f>J5*1.03</f>
        <v>0</v>
      </c>
      <c r="M5" s="2"/>
      <c r="N5" s="436">
        <f>L5*1.03</f>
        <v>0</v>
      </c>
      <c r="O5" s="2"/>
      <c r="P5" s="437">
        <f>N5*1.03</f>
        <v>0</v>
      </c>
      <c r="Q5" s="2"/>
      <c r="R5" s="438">
        <f>P5*1.03</f>
        <v>0</v>
      </c>
      <c r="S5" s="2"/>
      <c r="T5" s="478">
        <f>R5*1.03</f>
        <v>0</v>
      </c>
      <c r="U5" s="2"/>
      <c r="V5" s="479">
        <f>T5*1.03</f>
        <v>0</v>
      </c>
      <c r="W5" s="2"/>
      <c r="X5" s="479">
        <f>V5*1.03</f>
        <v>0</v>
      </c>
      <c r="Y5" s="2"/>
    </row>
    <row r="6" spans="2:25">
      <c r="B6" s="460" t="s">
        <v>229</v>
      </c>
      <c r="C6" s="461">
        <v>44378</v>
      </c>
      <c r="D6" s="462">
        <v>3.6</v>
      </c>
      <c r="E6" s="462">
        <v>1</v>
      </c>
      <c r="F6" s="463">
        <f>G6*Appt*E6*C8</f>
        <v>1.08</v>
      </c>
      <c r="G6" s="464">
        <f>D6/(40 * E6)/C8</f>
        <v>0.09</v>
      </c>
      <c r="H6" s="465"/>
    </row>
    <row r="7" spans="2:25">
      <c r="B7" s="460" t="s">
        <v>230</v>
      </c>
      <c r="C7" s="461">
        <v>44742</v>
      </c>
      <c r="D7" s="463">
        <f>G7*E7*C8*40</f>
        <v>1.7666666666666666</v>
      </c>
      <c r="E7" s="462">
        <v>1</v>
      </c>
      <c r="F7" s="462">
        <v>0.53</v>
      </c>
      <c r="G7" s="464">
        <f>F7/E7/Appt/C8</f>
        <v>4.4166666666666667E-2</v>
      </c>
      <c r="H7" s="466"/>
      <c r="I7" s="4" t="s">
        <v>31</v>
      </c>
      <c r="J7" s="4"/>
      <c r="K7" s="4"/>
      <c r="L7" s="4"/>
      <c r="M7" s="4"/>
    </row>
    <row r="8" spans="2:25">
      <c r="B8" s="460" t="s">
        <v>231</v>
      </c>
      <c r="C8" s="467">
        <f>ROUND((End-Start)/365,2)</f>
        <v>1</v>
      </c>
      <c r="D8" s="463">
        <f>G8*E8*C8*40</f>
        <v>3.6040000000000001</v>
      </c>
      <c r="E8" s="462">
        <v>1</v>
      </c>
      <c r="F8" s="463">
        <f>G8*Appt*E8*C8</f>
        <v>1.0811999999999999</v>
      </c>
      <c r="G8" s="468">
        <v>9.01E-2</v>
      </c>
      <c r="I8" s="13">
        <f>I10-I9</f>
        <v>0</v>
      </c>
      <c r="J8" s="516" t="s">
        <v>37</v>
      </c>
      <c r="K8" s="517"/>
      <c r="L8" s="12">
        <f>L10-L9</f>
        <v>0</v>
      </c>
      <c r="M8" s="14"/>
      <c r="N8" s="12">
        <f>N10-N9</f>
        <v>0</v>
      </c>
      <c r="O8" s="14"/>
      <c r="P8" s="12">
        <f>P10-P9</f>
        <v>0</v>
      </c>
      <c r="Q8" s="14"/>
      <c r="R8" s="12">
        <f>R10-R9</f>
        <v>0</v>
      </c>
    </row>
    <row r="9" spans="2:25">
      <c r="B9" s="460" t="s">
        <v>79</v>
      </c>
      <c r="C9" s="518">
        <v>12</v>
      </c>
      <c r="D9" s="518"/>
      <c r="E9" s="518"/>
      <c r="F9" s="518"/>
      <c r="G9" s="518"/>
      <c r="I9" s="115">
        <v>0</v>
      </c>
      <c r="J9" s="519" t="s">
        <v>28</v>
      </c>
      <c r="K9" s="520"/>
      <c r="L9" s="10">
        <f>I9*1.03</f>
        <v>0</v>
      </c>
      <c r="M9" s="10"/>
      <c r="N9" s="10">
        <f>L9*1.03</f>
        <v>0</v>
      </c>
      <c r="O9" s="10"/>
      <c r="P9" s="10">
        <f>N9*1.03</f>
        <v>0</v>
      </c>
      <c r="Q9" s="10"/>
      <c r="R9" s="10">
        <f>P9*1.03</f>
        <v>0</v>
      </c>
    </row>
    <row r="10" spans="2:25" ht="15.6">
      <c r="E10" s="314"/>
      <c r="I10" s="13">
        <f>I9/1560*2088</f>
        <v>0</v>
      </c>
      <c r="J10" s="522" t="s">
        <v>29</v>
      </c>
      <c r="K10" s="523"/>
      <c r="L10" s="11">
        <f>I10*1.03</f>
        <v>0</v>
      </c>
      <c r="M10" s="11"/>
      <c r="N10" s="11">
        <f>L10*1.03</f>
        <v>0</v>
      </c>
      <c r="O10" s="11"/>
      <c r="P10" s="11">
        <f>N10*1.03</f>
        <v>0</v>
      </c>
      <c r="Q10" s="11"/>
      <c r="R10" s="11">
        <f>P10*1.03</f>
        <v>0</v>
      </c>
    </row>
    <row r="11" spans="2:25">
      <c r="B11" s="524" t="s">
        <v>90</v>
      </c>
      <c r="C11" s="525"/>
      <c r="D11" s="314"/>
      <c r="E11" s="526" t="s">
        <v>201</v>
      </c>
      <c r="F11" s="526"/>
      <c r="I11" s="433">
        <f>I10/12</f>
        <v>0</v>
      </c>
      <c r="J11" s="527" t="s">
        <v>30</v>
      </c>
      <c r="K11" s="528"/>
    </row>
    <row r="12" spans="2:25">
      <c r="B12" s="505" t="s">
        <v>233</v>
      </c>
      <c r="C12" s="506"/>
      <c r="D12" s="314"/>
      <c r="E12" s="310" t="s">
        <v>207</v>
      </c>
      <c r="F12" s="311"/>
    </row>
    <row r="13" spans="2:25" ht="15" customHeight="1">
      <c r="B13" s="469" t="s">
        <v>91</v>
      </c>
      <c r="C13" s="470" t="s">
        <v>105</v>
      </c>
      <c r="D13" s="314"/>
      <c r="E13" s="310" t="s">
        <v>208</v>
      </c>
      <c r="F13" s="311"/>
      <c r="G13" s="471"/>
      <c r="I13" s="507" t="s">
        <v>102</v>
      </c>
      <c r="J13" s="508"/>
      <c r="K13" s="508"/>
      <c r="L13" s="508"/>
      <c r="M13" s="508"/>
      <c r="N13" s="508"/>
      <c r="O13" s="508"/>
      <c r="P13" s="508"/>
      <c r="Q13" s="508"/>
      <c r="R13" s="508"/>
      <c r="S13" s="509"/>
    </row>
    <row r="14" spans="2:25">
      <c r="B14" s="321" t="s">
        <v>88</v>
      </c>
      <c r="C14" s="317">
        <v>0.31</v>
      </c>
      <c r="D14" s="314"/>
      <c r="E14" s="310" t="s">
        <v>152</v>
      </c>
      <c r="F14" s="311"/>
      <c r="G14" s="471"/>
      <c r="I14" s="510" t="s">
        <v>96</v>
      </c>
      <c r="J14" s="513" t="s">
        <v>97</v>
      </c>
      <c r="K14" s="513"/>
      <c r="L14" s="513" t="s">
        <v>98</v>
      </c>
      <c r="M14" s="513"/>
      <c r="N14" s="513" t="s">
        <v>99</v>
      </c>
      <c r="O14" s="513"/>
      <c r="P14" s="513" t="s">
        <v>100</v>
      </c>
      <c r="Q14" s="513"/>
      <c r="R14" s="513" t="s">
        <v>101</v>
      </c>
      <c r="S14" s="513"/>
      <c r="T14" s="513" t="s">
        <v>198</v>
      </c>
      <c r="U14" s="513"/>
      <c r="V14" s="513" t="s">
        <v>199</v>
      </c>
      <c r="W14" s="513"/>
      <c r="X14" s="513" t="s">
        <v>200</v>
      </c>
      <c r="Y14" s="513"/>
    </row>
    <row r="15" spans="2:25">
      <c r="B15" s="322" t="s">
        <v>89</v>
      </c>
      <c r="C15" s="315">
        <v>0.183</v>
      </c>
      <c r="D15" s="314"/>
      <c r="E15" s="310" t="s">
        <v>209</v>
      </c>
      <c r="F15" s="311"/>
      <c r="G15" s="471"/>
      <c r="I15" s="511"/>
      <c r="J15" s="114" t="s">
        <v>95</v>
      </c>
      <c r="K15" s="114" t="s">
        <v>0</v>
      </c>
      <c r="L15" s="114" t="s">
        <v>95</v>
      </c>
      <c r="M15" s="114" t="s">
        <v>0</v>
      </c>
      <c r="N15" s="114" t="s">
        <v>95</v>
      </c>
      <c r="O15" s="114" t="s">
        <v>0</v>
      </c>
      <c r="P15" s="114" t="s">
        <v>95</v>
      </c>
      <c r="Q15" s="114" t="s">
        <v>0</v>
      </c>
      <c r="R15" s="114" t="s">
        <v>95</v>
      </c>
      <c r="S15" s="114" t="s">
        <v>0</v>
      </c>
      <c r="T15" s="114" t="s">
        <v>95</v>
      </c>
      <c r="U15" s="114" t="s">
        <v>0</v>
      </c>
      <c r="V15" s="114" t="s">
        <v>95</v>
      </c>
      <c r="W15" s="114" t="s">
        <v>0</v>
      </c>
      <c r="X15" s="114" t="s">
        <v>95</v>
      </c>
      <c r="Y15" s="114" t="s">
        <v>0</v>
      </c>
    </row>
    <row r="16" spans="2:25">
      <c r="B16" s="308" t="s">
        <v>193</v>
      </c>
      <c r="C16" s="315">
        <v>0.40699999999999997</v>
      </c>
      <c r="D16" s="314"/>
      <c r="E16" s="310" t="s">
        <v>13</v>
      </c>
      <c r="F16" s="311"/>
      <c r="G16" s="471"/>
      <c r="I16" s="512"/>
      <c r="J16" s="476">
        <f>COUNTIF(Budget!B22:B31,"Grad Student")</f>
        <v>0</v>
      </c>
      <c r="K16" s="477" t="str">
        <f>IFERROR(SUMIF(Budget!B22:B31,"Grad Student",Budget!G22:G31)/J16,"0")</f>
        <v>0</v>
      </c>
      <c r="L16" s="114">
        <f>COUNTIF(Budget!B22:B31,"Grad Student")</f>
        <v>0</v>
      </c>
      <c r="M16" s="114" t="str">
        <f>IFERROR(SUMIF(Budget!B22:B31,"Grad Student",Budget!J22:J31)/L16,"0")</f>
        <v>0</v>
      </c>
      <c r="N16" s="114">
        <f>COUNTIF(Budget!B22:B31,"Grad Student")</f>
        <v>0</v>
      </c>
      <c r="O16" s="114" t="str">
        <f>IFERROR(SUMIF(Budget!B22:B31,"Grad Student",Budget!M22:M31)/N16,"0")</f>
        <v>0</v>
      </c>
      <c r="P16" s="114">
        <f>COUNTIF(Budget!B22:B31,"Grad Student")</f>
        <v>0</v>
      </c>
      <c r="Q16" s="114" t="str">
        <f>IFERROR(SUMIF(Budget!B22:B31,"Grad Student",Budget!P22:P31)/P16,"0")</f>
        <v>0</v>
      </c>
      <c r="R16" s="114">
        <f>COUNTIF(Budget!B22:B31,"Grad Student")</f>
        <v>0</v>
      </c>
      <c r="S16" s="114" t="str">
        <f>IFERROR(SUMIF(Budget!B22:B31,"Grad Student",Budget!S22:S31)/R16,"0")</f>
        <v>0</v>
      </c>
      <c r="T16" s="2">
        <f>COUNTIF(Budget!B22:B31,"Grad Student")</f>
        <v>0</v>
      </c>
      <c r="U16" s="2" t="str">
        <f>IFERROR(SUMIF(Budget!B22:B31,"Grad Student",Budget!V22:V31)/R16,"0")</f>
        <v>0</v>
      </c>
      <c r="V16" s="2">
        <f>COUNTIF(Budget!B22:B31,"Grad Student")</f>
        <v>0</v>
      </c>
      <c r="W16" s="2" t="str">
        <f>IFERROR(SUMIF(Budget!B22:B31,"Grad Student",Budget!Y22:Y31)/R16,"0")</f>
        <v>0</v>
      </c>
      <c r="X16" s="2">
        <f>COUNTIF(Budget!B22:B31,"Grad Student")</f>
        <v>0</v>
      </c>
      <c r="Y16" s="2" t="str">
        <f>IFERROR(SUMIF(Budget!B22:B31,"Grad Student",Budget!AB22:AB31)/R16,"0")</f>
        <v>0</v>
      </c>
    </row>
    <row r="17" spans="2:12">
      <c r="B17" s="308" t="s">
        <v>194</v>
      </c>
      <c r="C17" s="315">
        <v>0.54600000000000004</v>
      </c>
      <c r="D17" s="314"/>
      <c r="E17" s="310" t="s">
        <v>150</v>
      </c>
      <c r="F17" s="311"/>
      <c r="G17" s="471"/>
    </row>
    <row r="18" spans="2:12">
      <c r="B18" s="308" t="s">
        <v>195</v>
      </c>
      <c r="C18" s="315">
        <v>0.224</v>
      </c>
      <c r="D18" s="314"/>
      <c r="E18" s="310" t="s">
        <v>151</v>
      </c>
      <c r="F18" s="311"/>
      <c r="G18" s="471"/>
      <c r="I18" s="500" t="s">
        <v>32</v>
      </c>
      <c r="J18" s="501"/>
      <c r="K18" s="501"/>
      <c r="L18" s="502"/>
    </row>
    <row r="19" spans="2:12">
      <c r="B19" s="308" t="s">
        <v>93</v>
      </c>
      <c r="C19" s="315">
        <v>0.109</v>
      </c>
      <c r="D19" s="314"/>
      <c r="E19" s="310" t="s">
        <v>14</v>
      </c>
      <c r="F19" s="311"/>
      <c r="G19" s="471"/>
      <c r="I19" s="2" t="s">
        <v>21</v>
      </c>
      <c r="J19" s="2"/>
      <c r="K19" s="8" t="s">
        <v>23</v>
      </c>
      <c r="L19" s="8" t="s">
        <v>27</v>
      </c>
    </row>
    <row r="20" spans="2:12">
      <c r="B20" s="308" t="s">
        <v>6</v>
      </c>
      <c r="C20" s="315">
        <v>0.109</v>
      </c>
      <c r="D20" s="314"/>
      <c r="E20" s="312" t="s">
        <v>15</v>
      </c>
      <c r="F20" s="313"/>
      <c r="G20" s="471"/>
      <c r="I20" s="2" t="s">
        <v>38</v>
      </c>
      <c r="J20" s="2"/>
      <c r="K20" s="59">
        <v>14336</v>
      </c>
      <c r="L20" s="9">
        <f>K20/12</f>
        <v>1194.6666666666667</v>
      </c>
    </row>
    <row r="21" spans="2:12">
      <c r="B21" s="308" t="s">
        <v>196</v>
      </c>
      <c r="C21" s="315">
        <v>1.2E-2</v>
      </c>
      <c r="D21" s="314"/>
      <c r="I21" s="2" t="s">
        <v>234</v>
      </c>
      <c r="J21" s="2"/>
      <c r="K21" s="59">
        <f>K20*1.1-1</f>
        <v>15768.600000000002</v>
      </c>
      <c r="L21" s="9">
        <f>K21/12</f>
        <v>1314.0500000000002</v>
      </c>
    </row>
    <row r="22" spans="2:12">
      <c r="B22" s="309" t="s">
        <v>92</v>
      </c>
      <c r="C22" s="316">
        <v>7.4999999999999997E-2</v>
      </c>
      <c r="I22" s="2" t="s">
        <v>235</v>
      </c>
      <c r="J22" s="2"/>
      <c r="K22" s="59">
        <f>K21*1.1+1</f>
        <v>17346.460000000003</v>
      </c>
      <c r="L22" s="9">
        <f>K22/12</f>
        <v>1445.5383333333336</v>
      </c>
    </row>
    <row r="23" spans="2:12">
      <c r="I23" s="2" t="s">
        <v>236</v>
      </c>
      <c r="J23" s="2"/>
      <c r="K23" s="59">
        <f>K22*1.05-1</f>
        <v>18212.783000000003</v>
      </c>
      <c r="L23" s="9">
        <f>K23/12</f>
        <v>1517.7319166666668</v>
      </c>
    </row>
    <row r="24" spans="2:12">
      <c r="B24" s="503" t="s">
        <v>223</v>
      </c>
      <c r="C24" s="504"/>
      <c r="I24" s="2" t="s">
        <v>237</v>
      </c>
      <c r="J24" s="2"/>
      <c r="K24" s="59">
        <f>K23*1.05</f>
        <v>19123.422150000006</v>
      </c>
      <c r="L24" s="9">
        <f>K24/12</f>
        <v>1593.6185125000004</v>
      </c>
    </row>
    <row r="25" spans="2:12">
      <c r="B25" s="472" t="s">
        <v>206</v>
      </c>
      <c r="C25" s="473"/>
      <c r="I25" s="2" t="s">
        <v>238</v>
      </c>
      <c r="J25" s="2"/>
      <c r="K25" s="59">
        <f>K24*1.05</f>
        <v>20079.593257500008</v>
      </c>
      <c r="L25" s="9">
        <f>K25/9</f>
        <v>2231.065917500001</v>
      </c>
    </row>
    <row r="26" spans="2:12">
      <c r="B26" s="308" t="s">
        <v>214</v>
      </c>
      <c r="C26" s="474"/>
      <c r="H26" s="307"/>
    </row>
    <row r="27" spans="2:12" ht="15.75" customHeight="1">
      <c r="B27" s="308" t="s">
        <v>210</v>
      </c>
      <c r="C27" s="474"/>
    </row>
    <row r="28" spans="2:12">
      <c r="B28" s="308" t="s">
        <v>211</v>
      </c>
      <c r="C28" s="474"/>
      <c r="G28" s="471"/>
    </row>
    <row r="29" spans="2:12">
      <c r="B29" s="308" t="s">
        <v>212</v>
      </c>
      <c r="C29" s="474"/>
      <c r="G29" s="471"/>
    </row>
    <row r="30" spans="2:12">
      <c r="B30" s="308" t="s">
        <v>213</v>
      </c>
      <c r="C30" s="474"/>
      <c r="G30" s="471"/>
    </row>
    <row r="31" spans="2:12">
      <c r="B31" s="308" t="s">
        <v>215</v>
      </c>
      <c r="C31" s="474"/>
      <c r="G31" s="471"/>
    </row>
    <row r="32" spans="2:12">
      <c r="B32" s="309" t="s">
        <v>216</v>
      </c>
      <c r="C32" s="475"/>
      <c r="G32" s="471"/>
      <c r="H32" s="307"/>
      <c r="I32" s="307"/>
      <c r="J32" s="307"/>
    </row>
    <row r="33" spans="9:11">
      <c r="I33" s="453"/>
      <c r="J33" s="307"/>
      <c r="K33" s="307"/>
    </row>
    <row r="34" spans="9:11">
      <c r="I34" s="453"/>
      <c r="J34" s="307"/>
      <c r="K34" s="307"/>
    </row>
    <row r="35" spans="9:11">
      <c r="I35" s="453"/>
    </row>
    <row r="36" spans="9:11">
      <c r="I36" s="453"/>
    </row>
    <row r="37" spans="9:11">
      <c r="I37" s="453"/>
      <c r="J37" s="307"/>
    </row>
    <row r="38" spans="9:11">
      <c r="I38" s="453"/>
      <c r="J38" s="307"/>
    </row>
    <row r="39" spans="9:11">
      <c r="I39" s="453"/>
      <c r="J39" s="307"/>
    </row>
    <row r="40" spans="9:11" ht="15.6">
      <c r="I40" s="454"/>
    </row>
  </sheetData>
  <mergeCells count="30">
    <mergeCell ref="T14:U14"/>
    <mergeCell ref="V14:W14"/>
    <mergeCell ref="X14:Y14"/>
    <mergeCell ref="T4:U4"/>
    <mergeCell ref="V4:W4"/>
    <mergeCell ref="X4:Y4"/>
    <mergeCell ref="J10:K10"/>
    <mergeCell ref="B11:C11"/>
    <mergeCell ref="E11:F11"/>
    <mergeCell ref="J11:K11"/>
    <mergeCell ref="P4:Q4"/>
    <mergeCell ref="R4:S4"/>
    <mergeCell ref="B5:C5"/>
    <mergeCell ref="J8:K8"/>
    <mergeCell ref="C9:G9"/>
    <mergeCell ref="J9:K9"/>
    <mergeCell ref="J4:K4"/>
    <mergeCell ref="B4:G4"/>
    <mergeCell ref="L4:M4"/>
    <mergeCell ref="N4:O4"/>
    <mergeCell ref="I18:L18"/>
    <mergeCell ref="B24:C24"/>
    <mergeCell ref="B12:C12"/>
    <mergeCell ref="I13:S13"/>
    <mergeCell ref="I14:I16"/>
    <mergeCell ref="J14:K14"/>
    <mergeCell ref="L14:M14"/>
    <mergeCell ref="N14:O14"/>
    <mergeCell ref="P14:Q14"/>
    <mergeCell ref="R14:S14"/>
  </mergeCells>
  <hyperlinks>
    <hyperlink ref="E16" r:id="rId1" xr:uid="{00000000-0004-0000-0100-000000000000}"/>
    <hyperlink ref="E12" r:id="rId2" display="Animals" xr:uid="{00000000-0004-0000-0100-000001000000}"/>
    <hyperlink ref="E19" r:id="rId3" xr:uid="{00000000-0004-0000-0100-000002000000}"/>
    <hyperlink ref="E20" r:id="rId4" xr:uid="{00000000-0004-0000-0100-000003000000}"/>
  </hyperlinks>
  <pageMargins left="0.7" right="0.7" top="0.75" bottom="0.75" header="0.3" footer="0.3"/>
  <pageSetup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  <pageSetUpPr fitToPage="1"/>
  </sheetPr>
  <dimension ref="A1:Q100"/>
  <sheetViews>
    <sheetView topLeftCell="A4" workbookViewId="0">
      <selection activeCell="D26" sqref="D26"/>
    </sheetView>
  </sheetViews>
  <sheetFormatPr defaultColWidth="7.69921875" defaultRowHeight="13.2" outlineLevelRow="1"/>
  <cols>
    <col min="1" max="1" width="15.59765625" style="116" customWidth="1"/>
    <col min="2" max="2" width="15.3984375" style="116" customWidth="1"/>
    <col min="3" max="4" width="13.09765625" style="116" bestFit="1" customWidth="1"/>
    <col min="5" max="5" width="12.5" style="116" bestFit="1" customWidth="1"/>
    <col min="6" max="6" width="12.3984375" style="116" customWidth="1"/>
    <col min="7" max="7" width="13.09765625" style="116" bestFit="1" customWidth="1"/>
    <col min="8" max="8" width="12.5" style="116" customWidth="1"/>
    <col min="9" max="9" width="8.19921875" style="116" bestFit="1" customWidth="1"/>
    <col min="10" max="10" width="13" style="116" customWidth="1"/>
    <col min="11" max="11" width="12.09765625" style="116" bestFit="1" customWidth="1"/>
    <col min="12" max="12" width="11.19921875" style="116" bestFit="1" customWidth="1"/>
    <col min="13" max="13" width="2.59765625" style="116" hidden="1" customWidth="1"/>
    <col min="14" max="14" width="12" style="116" hidden="1" customWidth="1"/>
    <col min="15" max="15" width="2.59765625" style="116" hidden="1" customWidth="1"/>
    <col min="16" max="16" width="12.5" style="116" hidden="1" customWidth="1"/>
    <col min="17" max="17" width="9.09765625" style="116" hidden="1" customWidth="1"/>
    <col min="18" max="18" width="10" style="116" customWidth="1"/>
    <col min="19" max="19" width="10.8984375" style="116" customWidth="1"/>
    <col min="20" max="20" width="9.8984375" style="116" customWidth="1"/>
    <col min="21" max="21" width="10" style="116" customWidth="1"/>
    <col min="22" max="22" width="9.09765625" style="116" customWidth="1"/>
    <col min="23" max="23" width="8.8984375" style="116" bestFit="1" customWidth="1"/>
    <col min="24" max="24" width="10" style="116" customWidth="1"/>
    <col min="25" max="25" width="9.69921875" style="116" customWidth="1"/>
    <col min="26" max="16384" width="7.69921875" style="116"/>
  </cols>
  <sheetData>
    <row r="1" spans="1:16" ht="15.75" customHeight="1" thickBot="1">
      <c r="A1" s="116" t="s">
        <v>109</v>
      </c>
      <c r="B1" s="239">
        <f>Budget!B1</f>
        <v>0</v>
      </c>
      <c r="I1" s="553" t="s">
        <v>110</v>
      </c>
      <c r="J1" s="554"/>
      <c r="K1" s="117">
        <f>H47</f>
        <v>0</v>
      </c>
      <c r="M1" s="555" t="s">
        <v>111</v>
      </c>
      <c r="N1" s="556"/>
      <c r="P1" s="118" t="s">
        <v>111</v>
      </c>
    </row>
    <row r="2" spans="1:16">
      <c r="A2" s="116" t="s">
        <v>112</v>
      </c>
      <c r="B2" s="481" t="str">
        <f>Budget!B2</f>
        <v>NIH</v>
      </c>
      <c r="I2" s="553" t="s">
        <v>113</v>
      </c>
      <c r="J2" s="554"/>
      <c r="K2" s="117">
        <f>K47</f>
        <v>0</v>
      </c>
      <c r="M2" s="119" t="s">
        <v>114</v>
      </c>
      <c r="N2" s="120" t="s">
        <v>115</v>
      </c>
      <c r="P2" s="116" t="s">
        <v>116</v>
      </c>
    </row>
    <row r="3" spans="1:16">
      <c r="A3" s="116" t="s">
        <v>117</v>
      </c>
      <c r="B3" s="482"/>
      <c r="H3" s="121"/>
      <c r="I3" s="557" t="s">
        <v>118</v>
      </c>
      <c r="J3" s="557"/>
      <c r="K3" s="122">
        <f>(K6-B4)/(B5-B4)</f>
        <v>-0.1747945205479452</v>
      </c>
      <c r="L3" s="243"/>
      <c r="M3" s="123" t="s">
        <v>119</v>
      </c>
      <c r="N3" s="124" t="s">
        <v>120</v>
      </c>
      <c r="P3" s="116" t="s">
        <v>121</v>
      </c>
    </row>
    <row r="4" spans="1:16">
      <c r="A4" s="116" t="s">
        <v>122</v>
      </c>
      <c r="B4" s="483">
        <f>Budget!B4</f>
        <v>44743</v>
      </c>
      <c r="H4" s="125"/>
      <c r="I4" s="557" t="s">
        <v>123</v>
      </c>
      <c r="J4" s="557"/>
      <c r="K4" s="122" t="e">
        <f>G47/D47</f>
        <v>#DIV/0!</v>
      </c>
      <c r="M4" s="126"/>
      <c r="N4" s="127"/>
      <c r="P4" s="116" t="s">
        <v>124</v>
      </c>
    </row>
    <row r="5" spans="1:16">
      <c r="A5" s="116" t="s">
        <v>125</v>
      </c>
      <c r="B5" s="484">
        <f>Budget!B5</f>
        <v>46568</v>
      </c>
      <c r="H5" s="125"/>
      <c r="I5" s="557" t="s">
        <v>126</v>
      </c>
      <c r="J5" s="557"/>
      <c r="K5" s="241"/>
      <c r="M5" s="126"/>
      <c r="N5" s="127"/>
      <c r="O5" s="128"/>
      <c r="P5" s="116" t="s">
        <v>127</v>
      </c>
    </row>
    <row r="6" spans="1:16">
      <c r="A6" s="116" t="s">
        <v>128</v>
      </c>
      <c r="B6" s="485"/>
      <c r="H6" s="125"/>
      <c r="I6" s="557" t="s">
        <v>129</v>
      </c>
      <c r="J6" s="557"/>
      <c r="K6" s="242">
        <v>44424</v>
      </c>
      <c r="M6" s="126"/>
      <c r="N6" s="127"/>
      <c r="P6" s="116" t="s">
        <v>130</v>
      </c>
    </row>
    <row r="7" spans="1:16">
      <c r="A7" s="116" t="s">
        <v>131</v>
      </c>
      <c r="B7" s="485"/>
      <c r="I7" s="558"/>
      <c r="J7" s="558"/>
      <c r="K7" s="129"/>
      <c r="P7" s="116" t="s">
        <v>132</v>
      </c>
    </row>
    <row r="8" spans="1:16">
      <c r="A8" s="116" t="s">
        <v>133</v>
      </c>
      <c r="B8" s="486">
        <f>Budget!F64</f>
        <v>0.52500000000000002</v>
      </c>
      <c r="I8" s="130"/>
      <c r="J8" s="130"/>
      <c r="K8" s="131"/>
      <c r="P8" s="116" t="s">
        <v>134</v>
      </c>
    </row>
    <row r="9" spans="1:16">
      <c r="A9" s="116" t="s">
        <v>135</v>
      </c>
      <c r="B9" s="240"/>
      <c r="I9" s="130"/>
      <c r="J9" s="130"/>
      <c r="K9" s="131"/>
    </row>
    <row r="10" spans="1:16" ht="13.8" thickBot="1">
      <c r="D10" s="132"/>
      <c r="P10" s="116" t="s">
        <v>136</v>
      </c>
    </row>
    <row r="11" spans="1:16" ht="40.200000000000003" thickBot="1">
      <c r="A11" s="559" t="s">
        <v>137</v>
      </c>
      <c r="B11" s="560"/>
      <c r="C11" s="133" t="s">
        <v>239</v>
      </c>
      <c r="D11" s="133" t="s">
        <v>138</v>
      </c>
      <c r="E11" s="133" t="s">
        <v>139</v>
      </c>
      <c r="F11" s="133" t="s">
        <v>140</v>
      </c>
      <c r="G11" s="133" t="s">
        <v>141</v>
      </c>
      <c r="H11" s="134" t="s">
        <v>142</v>
      </c>
      <c r="J11" s="135" t="s">
        <v>143</v>
      </c>
      <c r="K11" s="136" t="s">
        <v>144</v>
      </c>
      <c r="P11" s="116" t="s">
        <v>145</v>
      </c>
    </row>
    <row r="12" spans="1:16">
      <c r="A12" s="561" t="s">
        <v>146</v>
      </c>
      <c r="B12" s="562"/>
      <c r="C12" s="325">
        <f>SUM(C13:C22)</f>
        <v>0</v>
      </c>
      <c r="D12" s="137">
        <f t="shared" ref="D12:H12" si="0">SUM(D13:D22)</f>
        <v>0</v>
      </c>
      <c r="E12" s="137">
        <f t="shared" si="0"/>
        <v>0</v>
      </c>
      <c r="F12" s="137">
        <f t="shared" si="0"/>
        <v>0</v>
      </c>
      <c r="G12" s="138">
        <f t="shared" si="0"/>
        <v>0</v>
      </c>
      <c r="H12" s="139">
        <f t="shared" si="0"/>
        <v>0</v>
      </c>
      <c r="J12" s="140">
        <f>SUM(J13:J22)</f>
        <v>0</v>
      </c>
      <c r="K12" s="141">
        <f>SUM(K13:K22)</f>
        <v>0</v>
      </c>
      <c r="P12" s="116" t="s">
        <v>147</v>
      </c>
    </row>
    <row r="13" spans="1:16" outlineLevel="1">
      <c r="A13" s="544" t="str">
        <f>'Cost Summary'!A27</f>
        <v>Faculty</v>
      </c>
      <c r="B13" s="545"/>
      <c r="C13" s="326">
        <f>SUMIF(Budget!$B$11:$B$20,A13,Budget!$AD$11:$AD$20)/(1+'Effort and OPS Salary'!C14:C14)</f>
        <v>0</v>
      </c>
      <c r="D13" s="142">
        <v>0</v>
      </c>
      <c r="E13" s="176"/>
      <c r="F13" s="176"/>
      <c r="G13" s="142">
        <v>0</v>
      </c>
      <c r="H13" s="144">
        <f>D13+E13+F13-G13</f>
        <v>0</v>
      </c>
      <c r="J13" s="140">
        <f>(SUMIFS($J$52:$J$56, $C$52:$C$56,A13))</f>
        <v>0</v>
      </c>
      <c r="K13" s="145">
        <f t="shared" ref="K13:K43" si="1">SUM(H13-J13)</f>
        <v>0</v>
      </c>
      <c r="M13" s="146"/>
      <c r="N13" s="146"/>
    </row>
    <row r="14" spans="1:16" outlineLevel="1">
      <c r="A14" s="544" t="s">
        <v>148</v>
      </c>
      <c r="B14" s="545"/>
      <c r="C14" s="326">
        <f>Budget!AO32</f>
        <v>0</v>
      </c>
      <c r="D14" s="142">
        <v>0</v>
      </c>
      <c r="E14" s="176"/>
      <c r="F14" s="176"/>
      <c r="G14" s="142">
        <v>0</v>
      </c>
      <c r="H14" s="144">
        <f t="shared" ref="H14:H43" si="2">D14+E14+F14-G14</f>
        <v>0</v>
      </c>
      <c r="J14" s="140">
        <v>0</v>
      </c>
      <c r="K14" s="145">
        <f t="shared" si="1"/>
        <v>0</v>
      </c>
      <c r="M14" s="146"/>
      <c r="N14" s="146"/>
    </row>
    <row r="15" spans="1:16" outlineLevel="1">
      <c r="A15" s="255" t="str">
        <f>'Cost Summary'!A28</f>
        <v>Clinical Faculty</v>
      </c>
      <c r="B15" s="256"/>
      <c r="C15" s="326">
        <f>SUMIF(Budget!$B$22:$B$31,A15,Budget!$AD$22:$AD$31)/(1+'Effort and OPS Salary'!C15:C15)</f>
        <v>0</v>
      </c>
      <c r="D15" s="142">
        <v>0</v>
      </c>
      <c r="E15" s="176"/>
      <c r="F15" s="176"/>
      <c r="G15" s="142">
        <v>0</v>
      </c>
      <c r="H15" s="144">
        <f t="shared" si="2"/>
        <v>0</v>
      </c>
      <c r="J15" s="140">
        <f>(SUMIFS($J$52:$J$56, $C$52:$C$56,A15))</f>
        <v>0</v>
      </c>
      <c r="K15" s="145">
        <f t="shared" si="1"/>
        <v>0</v>
      </c>
      <c r="M15" s="146"/>
      <c r="N15" s="146"/>
    </row>
    <row r="16" spans="1:16" outlineLevel="1">
      <c r="A16" s="255" t="str">
        <f>'Cost Summary'!A29</f>
        <v>Exempt TEAMS</v>
      </c>
      <c r="B16" s="256"/>
      <c r="C16" s="326">
        <f>SUMIF(Budget!$B$22:$B$31,A16,Budget!$AD$22:$AD$31)/(1+'Effort and OPS Salary'!C16:C16)</f>
        <v>0</v>
      </c>
      <c r="D16" s="142">
        <v>0</v>
      </c>
      <c r="E16" s="176"/>
      <c r="F16" s="176"/>
      <c r="G16" s="142">
        <v>0</v>
      </c>
      <c r="H16" s="144">
        <f t="shared" si="2"/>
        <v>0</v>
      </c>
      <c r="J16" s="140">
        <f>(SUMIFS($J$61:$J$72, $C$61:$C$72,A16))</f>
        <v>0</v>
      </c>
      <c r="K16" s="145">
        <f t="shared" si="1"/>
        <v>0</v>
      </c>
      <c r="M16" s="146"/>
      <c r="N16" s="146"/>
    </row>
    <row r="17" spans="1:14" outlineLevel="1">
      <c r="A17" s="255" t="str">
        <f>'Cost Summary'!A30</f>
        <v>Non-Exempt TEAMS</v>
      </c>
      <c r="B17" s="256"/>
      <c r="C17" s="326">
        <f>SUMIF(Budget!$B$22:$B$31,A17,Budget!$AD$22:$AD$31)/(1+'Effort and OPS Salary'!C17:C17)</f>
        <v>0</v>
      </c>
      <c r="D17" s="142">
        <v>0</v>
      </c>
      <c r="E17" s="176"/>
      <c r="F17" s="176"/>
      <c r="G17" s="142">
        <v>0</v>
      </c>
      <c r="H17" s="144">
        <f t="shared" si="2"/>
        <v>0</v>
      </c>
      <c r="J17" s="140">
        <f t="shared" ref="J17:J22" si="3">(SUMIFS($J$61:$J$72, $C$61:$C$72,A17))</f>
        <v>0</v>
      </c>
      <c r="K17" s="145">
        <f t="shared" si="1"/>
        <v>0</v>
      </c>
      <c r="M17" s="146"/>
      <c r="N17" s="146"/>
    </row>
    <row r="18" spans="1:14" outlineLevel="1">
      <c r="A18" s="255" t="str">
        <f>'Cost Summary'!A31</f>
        <v>Clinical Post Doc Associates</v>
      </c>
      <c r="B18" s="256"/>
      <c r="C18" s="326">
        <f>SUMIF(Budget!$B$22:$B$31,A18,Budget!$AD$22:$AD$31)/(1+'Effort and OPS Salary'!C18:C18)</f>
        <v>0</v>
      </c>
      <c r="D18" s="142">
        <v>0</v>
      </c>
      <c r="E18" s="176"/>
      <c r="F18" s="176"/>
      <c r="G18" s="142">
        <v>0</v>
      </c>
      <c r="H18" s="144">
        <f t="shared" si="2"/>
        <v>0</v>
      </c>
      <c r="J18" s="140">
        <f t="shared" si="3"/>
        <v>0</v>
      </c>
      <c r="K18" s="145">
        <f t="shared" si="1"/>
        <v>0</v>
      </c>
      <c r="M18" s="146"/>
      <c r="N18" s="146"/>
    </row>
    <row r="19" spans="1:14" s="146" customFormat="1" outlineLevel="1">
      <c r="A19" s="255" t="str">
        <f>'Cost Summary'!A32</f>
        <v>Regular Post Doc</v>
      </c>
      <c r="B19" s="306"/>
      <c r="C19" s="326">
        <f>SUMIF(Budget!$B$22:$B$31,A19,Budget!$AD$22:$AD$31)/(1+'Effort and OPS Salary'!C19:C19)</f>
        <v>0</v>
      </c>
      <c r="D19" s="142">
        <v>0</v>
      </c>
      <c r="E19" s="176"/>
      <c r="F19" s="176"/>
      <c r="G19" s="142">
        <v>0</v>
      </c>
      <c r="H19" s="144">
        <f>D19+E19+F19-G19</f>
        <v>0</v>
      </c>
      <c r="I19" s="116"/>
      <c r="J19" s="140">
        <f t="shared" si="3"/>
        <v>0</v>
      </c>
      <c r="K19" s="145">
        <f>SUM(H19-J19)</f>
        <v>0</v>
      </c>
      <c r="L19" s="116"/>
    </row>
    <row r="20" spans="1:14" outlineLevel="1">
      <c r="A20" s="255" t="str">
        <f>'Cost Summary'!A33</f>
        <v>Grad Student</v>
      </c>
      <c r="B20" s="306"/>
      <c r="C20" s="326">
        <f>SUMIF(Budget!$B$22:$B$31,A20,Budget!$AD$22:$AD$31)/(1+'Effort and OPS Salary'!C20:C20)</f>
        <v>0</v>
      </c>
      <c r="D20" s="142">
        <v>0</v>
      </c>
      <c r="E20" s="176"/>
      <c r="F20" s="176"/>
      <c r="G20" s="142">
        <v>0</v>
      </c>
      <c r="H20" s="144">
        <f>D20+E20+F20-G20</f>
        <v>0</v>
      </c>
      <c r="J20" s="140">
        <f t="shared" si="3"/>
        <v>0</v>
      </c>
      <c r="K20" s="145">
        <f>SUM(H20-J20)</f>
        <v>0</v>
      </c>
      <c r="M20" s="146"/>
      <c r="N20" s="146"/>
    </row>
    <row r="21" spans="1:14" s="146" customFormat="1" outlineLevel="1">
      <c r="A21" s="255" t="str">
        <f>'Cost Summary'!A34</f>
        <v>OPS Student/Undergrad Student</v>
      </c>
      <c r="B21" s="306"/>
      <c r="C21" s="326">
        <f>SUMIF(Budget!$B$22:$B$31,A21,Budget!$AD$22:$AD$31)/(1+'Effort and OPS Salary'!C21:C21)</f>
        <v>0</v>
      </c>
      <c r="D21" s="142">
        <v>0</v>
      </c>
      <c r="E21" s="176"/>
      <c r="F21" s="176"/>
      <c r="G21" s="142">
        <v>0</v>
      </c>
      <c r="H21" s="144">
        <f t="shared" si="2"/>
        <v>0</v>
      </c>
      <c r="I21" s="116"/>
      <c r="J21" s="140">
        <f t="shared" si="3"/>
        <v>0</v>
      </c>
      <c r="K21" s="145">
        <f t="shared" si="1"/>
        <v>0</v>
      </c>
      <c r="L21" s="116"/>
    </row>
    <row r="22" spans="1:14" s="146" customFormat="1" outlineLevel="1">
      <c r="A22" s="255" t="str">
        <f>'Cost Summary'!A35</f>
        <v>OPS Other/Temporary Faculty</v>
      </c>
      <c r="B22" s="306"/>
      <c r="C22" s="326">
        <f>SUMIF(Budget!$B$22:$B$31,A22,Budget!$AD$22:$AD$31)/(1+'Effort and OPS Salary'!C22:C22)</f>
        <v>0</v>
      </c>
      <c r="D22" s="142">
        <v>0</v>
      </c>
      <c r="E22" s="176"/>
      <c r="F22" s="176"/>
      <c r="G22" s="142">
        <v>0</v>
      </c>
      <c r="H22" s="144">
        <f t="shared" si="2"/>
        <v>0</v>
      </c>
      <c r="I22" s="116"/>
      <c r="J22" s="140">
        <f t="shared" si="3"/>
        <v>0</v>
      </c>
      <c r="K22" s="145">
        <f t="shared" si="1"/>
        <v>0</v>
      </c>
      <c r="L22" s="116"/>
    </row>
    <row r="23" spans="1:14" s="146" customFormat="1">
      <c r="A23" s="432" t="s">
        <v>149</v>
      </c>
      <c r="B23" s="306"/>
      <c r="C23" s="327">
        <f>Budget!AD49</f>
        <v>0</v>
      </c>
      <c r="D23" s="184">
        <v>0</v>
      </c>
      <c r="E23" s="184"/>
      <c r="F23" s="184"/>
      <c r="G23" s="142">
        <v>0</v>
      </c>
      <c r="H23" s="148">
        <f t="shared" si="2"/>
        <v>0</v>
      </c>
      <c r="I23" s="116"/>
      <c r="J23" s="149">
        <f>SUM(J77:J88)</f>
        <v>0</v>
      </c>
      <c r="K23" s="150">
        <f>SUM(H23-J23)</f>
        <v>0</v>
      </c>
    </row>
    <row r="24" spans="1:14" s="146" customFormat="1" hidden="1">
      <c r="A24" s="319">
        <f>'Effort and OPS Salary'!B39</f>
        <v>0</v>
      </c>
      <c r="B24" s="320"/>
      <c r="C24" s="327">
        <f>SUMIF(Budget!$F$36:$F$45,A24,Budget!$AD$36:$AD$45)</f>
        <v>0</v>
      </c>
      <c r="D24" s="184">
        <f>SUMIF(Budget!$F$36:$F$45,B24,Budget!$AD$36:$AD$45)</f>
        <v>0</v>
      </c>
      <c r="E24" s="184"/>
      <c r="F24" s="184"/>
      <c r="G24" s="142">
        <v>0</v>
      </c>
      <c r="H24" s="148">
        <f t="shared" si="2"/>
        <v>0</v>
      </c>
      <c r="I24" s="116"/>
      <c r="J24" s="149">
        <f>SUMIFS($J$84:$J$89,$H$84:$H$89,A24)</f>
        <v>0</v>
      </c>
      <c r="K24" s="150">
        <f t="shared" si="1"/>
        <v>0</v>
      </c>
    </row>
    <row r="25" spans="1:14" s="146" customFormat="1">
      <c r="A25" s="432" t="str">
        <f>'Effort and OPS Salary'!E12</f>
        <v>Animal</v>
      </c>
      <c r="B25" s="306"/>
      <c r="C25" s="327">
        <f>SUMIF(Budget!$F$36:$F$45,A25,Budget!$AD$36:$AD$45)</f>
        <v>0</v>
      </c>
      <c r="D25" s="184">
        <v>0</v>
      </c>
      <c r="E25" s="184"/>
      <c r="F25" s="184"/>
      <c r="G25" s="142">
        <v>0</v>
      </c>
      <c r="H25" s="148">
        <f t="shared" si="2"/>
        <v>0</v>
      </c>
      <c r="I25" s="116"/>
      <c r="J25" s="149">
        <f>SUMIFS($J$93:$J$98,$H$93:$H$98,A24)</f>
        <v>0</v>
      </c>
      <c r="K25" s="150">
        <f t="shared" si="1"/>
        <v>0</v>
      </c>
    </row>
    <row r="26" spans="1:14" s="146" customFormat="1">
      <c r="A26" s="432" t="str">
        <f>'Effort and OPS Salary'!E13</f>
        <v>Computer Services</v>
      </c>
      <c r="B26" s="306"/>
      <c r="C26" s="327">
        <f>SUMIF(Budget!$F$36:$F$45,A26,Budget!$AD$36:$AD$45)</f>
        <v>0</v>
      </c>
      <c r="D26" s="184">
        <v>0</v>
      </c>
      <c r="E26" s="184"/>
      <c r="F26" s="184"/>
      <c r="G26" s="142">
        <v>0</v>
      </c>
      <c r="H26" s="148">
        <f t="shared" si="2"/>
        <v>0</v>
      </c>
      <c r="I26" s="116"/>
      <c r="J26" s="149">
        <f t="shared" ref="J26:J41" si="4">SUMIFS($J$93:$J$98,$H$93:$H$98,A25)</f>
        <v>0</v>
      </c>
      <c r="K26" s="150">
        <f t="shared" si="1"/>
        <v>0</v>
      </c>
    </row>
    <row r="27" spans="1:14" s="146" customFormat="1">
      <c r="A27" s="432" t="str">
        <f>'Effort and OPS Salary'!E14</f>
        <v>Consultant Services</v>
      </c>
      <c r="B27" s="306"/>
      <c r="C27" s="327">
        <f>SUMIF(Budget!$F$36:$F$45,A27,Budget!$AD$36:$AD$45)</f>
        <v>0</v>
      </c>
      <c r="D27" s="184">
        <v>0</v>
      </c>
      <c r="E27" s="184"/>
      <c r="F27" s="184"/>
      <c r="G27" s="142">
        <v>0</v>
      </c>
      <c r="H27" s="148">
        <f t="shared" si="2"/>
        <v>0</v>
      </c>
      <c r="I27" s="116"/>
      <c r="J27" s="149">
        <f t="shared" si="4"/>
        <v>0</v>
      </c>
      <c r="K27" s="150">
        <f t="shared" si="1"/>
        <v>0</v>
      </c>
    </row>
    <row r="28" spans="1:14" s="146" customFormat="1" hidden="1">
      <c r="A28" s="432">
        <f>'Effort and OPS Salary'!E30</f>
        <v>0</v>
      </c>
      <c r="B28" s="306"/>
      <c r="C28" s="327">
        <f>SUMIF(Budget!$F$36:$F$45,A28,Budget!$AD$36:$AD$45)</f>
        <v>0</v>
      </c>
      <c r="D28" s="184">
        <v>0</v>
      </c>
      <c r="E28" s="184"/>
      <c r="F28" s="184"/>
      <c r="G28" s="142">
        <v>0</v>
      </c>
      <c r="H28" s="148">
        <f t="shared" si="2"/>
        <v>0</v>
      </c>
      <c r="I28" s="116"/>
      <c r="J28" s="149">
        <f t="shared" si="4"/>
        <v>0</v>
      </c>
      <c r="K28" s="150">
        <f t="shared" si="1"/>
        <v>0</v>
      </c>
    </row>
    <row r="29" spans="1:14" s="146" customFormat="1">
      <c r="A29" s="432" t="str">
        <f>'Effort and OPS Salary'!E15</f>
        <v>Human Subject Payment</v>
      </c>
      <c r="B29" s="306"/>
      <c r="C29" s="327">
        <f>SUMIF(Budget!$F$36:$F$45,A29,Budget!$AD$36:$AD$45)</f>
        <v>0</v>
      </c>
      <c r="D29" s="184">
        <v>0</v>
      </c>
      <c r="E29" s="184"/>
      <c r="F29" s="184"/>
      <c r="G29" s="142">
        <v>0</v>
      </c>
      <c r="H29" s="148">
        <f t="shared" si="2"/>
        <v>0</v>
      </c>
      <c r="I29" s="116"/>
      <c r="J29" s="149">
        <f t="shared" si="4"/>
        <v>0</v>
      </c>
      <c r="K29" s="150">
        <f t="shared" si="1"/>
        <v>0</v>
      </c>
    </row>
    <row r="30" spans="1:14" s="146" customFormat="1">
      <c r="A30" s="432" t="str">
        <f>'Effort and OPS Salary'!E16</f>
        <v>Materials &amp; Supplies</v>
      </c>
      <c r="B30" s="306"/>
      <c r="C30" s="327">
        <f>SUMIF(Budget!$F$36:$F$45,A30,Budget!$AD$36:$AD$45)</f>
        <v>0</v>
      </c>
      <c r="D30" s="184">
        <v>0</v>
      </c>
      <c r="E30" s="184"/>
      <c r="F30" s="184"/>
      <c r="G30" s="142">
        <v>0</v>
      </c>
      <c r="H30" s="148">
        <f t="shared" si="2"/>
        <v>0</v>
      </c>
      <c r="I30" s="116"/>
      <c r="J30" s="149">
        <f t="shared" si="4"/>
        <v>0</v>
      </c>
      <c r="K30" s="150">
        <f t="shared" si="1"/>
        <v>0</v>
      </c>
    </row>
    <row r="31" spans="1:14" s="146" customFormat="1" hidden="1">
      <c r="A31" s="432">
        <f>'Effort and OPS Salary'!B41</f>
        <v>0</v>
      </c>
      <c r="B31" s="306"/>
      <c r="C31" s="327">
        <f>SUMIF(Budget!$F$36:$F$45,A31,Budget!$AD$36:$AD$45)</f>
        <v>0</v>
      </c>
      <c r="D31" s="184">
        <v>0</v>
      </c>
      <c r="E31" s="184"/>
      <c r="F31" s="184"/>
      <c r="G31" s="142">
        <v>0</v>
      </c>
      <c r="H31" s="148">
        <f t="shared" si="2"/>
        <v>0</v>
      </c>
      <c r="I31" s="116"/>
      <c r="J31" s="149">
        <f t="shared" si="4"/>
        <v>0</v>
      </c>
      <c r="K31" s="150">
        <f t="shared" si="1"/>
        <v>0</v>
      </c>
    </row>
    <row r="32" spans="1:14" s="146" customFormat="1" hidden="1">
      <c r="A32" s="432">
        <f>'Effort and OPS Salary'!B42</f>
        <v>0</v>
      </c>
      <c r="B32" s="306"/>
      <c r="C32" s="327">
        <f>SUMIF(Budget!$F$36:$F$45,A32,Budget!$AD$36:$AD$45)</f>
        <v>0</v>
      </c>
      <c r="D32" s="184">
        <v>0</v>
      </c>
      <c r="E32" s="184"/>
      <c r="F32" s="184"/>
      <c r="G32" s="142">
        <v>0</v>
      </c>
      <c r="H32" s="148">
        <f t="shared" si="2"/>
        <v>0</v>
      </c>
      <c r="I32" s="116"/>
      <c r="J32" s="149">
        <f t="shared" si="4"/>
        <v>0</v>
      </c>
      <c r="K32" s="150">
        <f t="shared" si="1"/>
        <v>0</v>
      </c>
    </row>
    <row r="33" spans="1:15" s="146" customFormat="1" hidden="1">
      <c r="A33" s="432">
        <f>'Effort and OPS Salary'!B43</f>
        <v>0</v>
      </c>
      <c r="B33" s="306"/>
      <c r="C33" s="327">
        <f>SUMIF(Budget!$F$36:$F$45,A33,Budget!$AD$36:$AD$45)</f>
        <v>0</v>
      </c>
      <c r="D33" s="184">
        <v>0</v>
      </c>
      <c r="E33" s="184"/>
      <c r="F33" s="184"/>
      <c r="G33" s="142">
        <v>0</v>
      </c>
      <c r="H33" s="148">
        <f t="shared" si="2"/>
        <v>0</v>
      </c>
      <c r="I33" s="116"/>
      <c r="J33" s="149">
        <f t="shared" si="4"/>
        <v>0</v>
      </c>
      <c r="K33" s="150">
        <f t="shared" si="1"/>
        <v>0</v>
      </c>
    </row>
    <row r="34" spans="1:15" s="146" customFormat="1" hidden="1">
      <c r="A34" s="432">
        <f>'Effort and OPS Salary'!B44</f>
        <v>0</v>
      </c>
      <c r="B34" s="306"/>
      <c r="C34" s="327">
        <f>SUMIF(Budget!$F$36:$F$45,A34,Budget!$AD$36:$AD$45)</f>
        <v>0</v>
      </c>
      <c r="D34" s="184">
        <v>0</v>
      </c>
      <c r="E34" s="184"/>
      <c r="F34" s="184"/>
      <c r="G34" s="142">
        <v>0</v>
      </c>
      <c r="H34" s="151">
        <f t="shared" si="2"/>
        <v>0</v>
      </c>
      <c r="J34" s="149">
        <f t="shared" si="4"/>
        <v>0</v>
      </c>
      <c r="K34" s="150">
        <f t="shared" si="1"/>
        <v>0</v>
      </c>
    </row>
    <row r="35" spans="1:15" s="146" customFormat="1">
      <c r="A35" s="432" t="str">
        <f>'Effort and OPS Salary'!E17</f>
        <v>Other Expenses</v>
      </c>
      <c r="B35" s="306"/>
      <c r="C35" s="327">
        <f>SUMIF(Budget!$F$36:$F$45,A35,Budget!$AD$36:$AD$45)</f>
        <v>0</v>
      </c>
      <c r="D35" s="184">
        <v>0</v>
      </c>
      <c r="E35" s="184"/>
      <c r="F35" s="184"/>
      <c r="G35" s="142">
        <v>0</v>
      </c>
      <c r="H35" s="151">
        <f t="shared" si="2"/>
        <v>0</v>
      </c>
      <c r="J35" s="149">
        <f t="shared" si="4"/>
        <v>0</v>
      </c>
      <c r="K35" s="150">
        <f t="shared" si="1"/>
        <v>0</v>
      </c>
    </row>
    <row r="36" spans="1:15" s="146" customFormat="1">
      <c r="A36" s="432" t="str">
        <f>'Effort and OPS Salary'!E18</f>
        <v>Publication Costs</v>
      </c>
      <c r="B36" s="306"/>
      <c r="C36" s="327">
        <f>SUMIF(Budget!$F$36:$F$45,A36,Budget!$AD$36:$AD$45)</f>
        <v>0</v>
      </c>
      <c r="D36" s="184">
        <v>0</v>
      </c>
      <c r="E36" s="184"/>
      <c r="F36" s="184"/>
      <c r="G36" s="142">
        <v>0</v>
      </c>
      <c r="H36" s="151">
        <f t="shared" si="2"/>
        <v>0</v>
      </c>
      <c r="J36" s="149">
        <f t="shared" si="4"/>
        <v>0</v>
      </c>
      <c r="K36" s="150">
        <f t="shared" si="1"/>
        <v>0</v>
      </c>
    </row>
    <row r="37" spans="1:15" hidden="1">
      <c r="A37" s="432">
        <f>'Effort and OPS Salary'!B45</f>
        <v>0</v>
      </c>
      <c r="B37" s="306"/>
      <c r="C37" s="327">
        <f>SUMIF(Budget!$F$36:$F$45,A37,Budget!$AD$36:$AD$45)</f>
        <v>0</v>
      </c>
      <c r="D37" s="184">
        <v>0</v>
      </c>
      <c r="E37" s="184"/>
      <c r="F37" s="184"/>
      <c r="G37" s="142">
        <v>0</v>
      </c>
      <c r="H37" s="151">
        <f t="shared" si="2"/>
        <v>0</v>
      </c>
      <c r="I37" s="146"/>
      <c r="J37" s="149">
        <f t="shared" si="4"/>
        <v>0</v>
      </c>
      <c r="K37" s="150">
        <f t="shared" si="1"/>
        <v>0</v>
      </c>
      <c r="M37" s="146"/>
      <c r="N37" s="146"/>
    </row>
    <row r="38" spans="1:15" hidden="1">
      <c r="A38" s="432" t="e">
        <f>'Effort and OPS Salary'!#REF!</f>
        <v>#REF!</v>
      </c>
      <c r="B38" s="306"/>
      <c r="C38" s="327">
        <f>Budget!AD48</f>
        <v>0</v>
      </c>
      <c r="D38" s="184">
        <v>0</v>
      </c>
      <c r="E38" s="184"/>
      <c r="F38" s="184"/>
      <c r="G38" s="142">
        <v>0</v>
      </c>
      <c r="H38" s="151">
        <f t="shared" si="2"/>
        <v>0</v>
      </c>
      <c r="I38" s="146"/>
      <c r="J38" s="149">
        <f t="shared" si="4"/>
        <v>0</v>
      </c>
      <c r="K38" s="150">
        <f t="shared" si="1"/>
        <v>0</v>
      </c>
      <c r="L38" s="146"/>
    </row>
    <row r="39" spans="1:15">
      <c r="A39" s="432" t="str">
        <f>'Effort and OPS Salary'!E19</f>
        <v>Domestic Travel</v>
      </c>
      <c r="B39" s="306"/>
      <c r="C39" s="327">
        <f>SUMIF(Budget!$F$36:$F$45,A39,Budget!$AD$36:$AD$45)</f>
        <v>0</v>
      </c>
      <c r="D39" s="184">
        <v>0</v>
      </c>
      <c r="E39" s="184"/>
      <c r="F39" s="184"/>
      <c r="G39" s="142">
        <v>0</v>
      </c>
      <c r="H39" s="151">
        <f t="shared" si="2"/>
        <v>0</v>
      </c>
      <c r="I39" s="146"/>
      <c r="J39" s="149">
        <f t="shared" si="4"/>
        <v>0</v>
      </c>
      <c r="K39" s="150">
        <f t="shared" si="1"/>
        <v>0</v>
      </c>
      <c r="L39" s="146"/>
    </row>
    <row r="40" spans="1:15">
      <c r="A40" s="432" t="str">
        <f>'Effort and OPS Salary'!E20</f>
        <v>Foreign Travel</v>
      </c>
      <c r="B40" s="306"/>
      <c r="C40" s="327">
        <f>SUMIF(Budget!$F$36:$F$45,A40,Budget!$AD$36:$AD$45)</f>
        <v>0</v>
      </c>
      <c r="D40" s="184">
        <v>0</v>
      </c>
      <c r="E40" s="184"/>
      <c r="F40" s="184"/>
      <c r="G40" s="142">
        <v>0</v>
      </c>
      <c r="H40" s="151">
        <f t="shared" si="2"/>
        <v>0</v>
      </c>
      <c r="I40" s="146"/>
      <c r="J40" s="149">
        <f t="shared" si="4"/>
        <v>0</v>
      </c>
      <c r="K40" s="150">
        <f t="shared" si="1"/>
        <v>0</v>
      </c>
      <c r="L40" s="146"/>
    </row>
    <row r="41" spans="1:15">
      <c r="A41" s="319" t="s">
        <v>41</v>
      </c>
      <c r="B41" s="320"/>
      <c r="C41" s="327">
        <f>Budget!AD48</f>
        <v>0</v>
      </c>
      <c r="D41" s="184">
        <v>0</v>
      </c>
      <c r="E41" s="184"/>
      <c r="F41" s="184"/>
      <c r="G41" s="142">
        <v>0</v>
      </c>
      <c r="H41" s="151">
        <f t="shared" si="2"/>
        <v>0</v>
      </c>
      <c r="I41" s="146"/>
      <c r="J41" s="149">
        <f t="shared" si="4"/>
        <v>0</v>
      </c>
      <c r="K41" s="150">
        <f t="shared" si="1"/>
        <v>0</v>
      </c>
      <c r="L41" s="146"/>
    </row>
    <row r="42" spans="1:15">
      <c r="A42" s="544" t="s">
        <v>153</v>
      </c>
      <c r="B42" s="545"/>
      <c r="C42" s="327">
        <f>IF(Budget!AD50&gt;1,25000,0)</f>
        <v>0</v>
      </c>
      <c r="D42" s="184">
        <v>0</v>
      </c>
      <c r="E42" s="184"/>
      <c r="F42" s="184"/>
      <c r="G42" s="142">
        <v>0</v>
      </c>
      <c r="H42" s="151">
        <f t="shared" si="2"/>
        <v>0</v>
      </c>
      <c r="I42" s="146"/>
      <c r="J42" s="149">
        <f>SUMIFS($J$84:$J$89,$H$84:$H$89,A42)</f>
        <v>0</v>
      </c>
      <c r="K42" s="145">
        <f t="shared" si="1"/>
        <v>0</v>
      </c>
    </row>
    <row r="43" spans="1:15" ht="13.8" thickBot="1">
      <c r="A43" s="546" t="s">
        <v>154</v>
      </c>
      <c r="B43" s="547"/>
      <c r="C43" s="327">
        <f>Budget!AD50</f>
        <v>0</v>
      </c>
      <c r="D43" s="184">
        <v>0</v>
      </c>
      <c r="E43" s="184"/>
      <c r="F43" s="184"/>
      <c r="G43" s="142">
        <v>0</v>
      </c>
      <c r="H43" s="151">
        <f t="shared" si="2"/>
        <v>0</v>
      </c>
      <c r="I43" s="146"/>
      <c r="J43" s="149">
        <f>SUMIFS($J$84:$J$89,$H$84:$H$89,A43)</f>
        <v>0</v>
      </c>
      <c r="K43" s="145">
        <f t="shared" si="1"/>
        <v>0</v>
      </c>
    </row>
    <row r="44" spans="1:15" ht="13.8" thickBot="1">
      <c r="A44" s="152" t="s">
        <v>155</v>
      </c>
      <c r="B44" s="153"/>
      <c r="C44" s="154">
        <f>SUM(C12,C23,C25,C26,C27,C29,C30,C35,C36,C39,C40,C41,C42,C43)</f>
        <v>0</v>
      </c>
      <c r="D44" s="155">
        <f t="shared" ref="D44:H44" si="5">SUM(D13:D43)</f>
        <v>0</v>
      </c>
      <c r="E44" s="155">
        <f t="shared" si="5"/>
        <v>0</v>
      </c>
      <c r="F44" s="155">
        <f t="shared" si="5"/>
        <v>0</v>
      </c>
      <c r="G44" s="154">
        <f t="shared" si="5"/>
        <v>0</v>
      </c>
      <c r="H44" s="156">
        <f t="shared" si="5"/>
        <v>0</v>
      </c>
      <c r="J44" s="157">
        <f>SUM(J13:J43)</f>
        <v>0</v>
      </c>
      <c r="K44" s="156">
        <f>SUM(K13:K43)</f>
        <v>0</v>
      </c>
    </row>
    <row r="45" spans="1:15" ht="13.8" thickBot="1">
      <c r="C45" s="132"/>
      <c r="D45" s="132"/>
      <c r="E45" s="132"/>
      <c r="F45" s="132"/>
      <c r="G45" s="132"/>
      <c r="H45" s="132"/>
      <c r="J45" s="158"/>
      <c r="K45" s="159"/>
      <c r="O45" s="160"/>
    </row>
    <row r="46" spans="1:15">
      <c r="A46" s="161" t="s">
        <v>156</v>
      </c>
      <c r="B46" s="162"/>
      <c r="C46" s="163">
        <f>SUM(C12,C25,C26,C27,C29,C30,C35,C36,C39,C40,C42)*B8</f>
        <v>0</v>
      </c>
      <c r="D46" s="163">
        <f t="shared" ref="D46:K46" si="6">SUM(D13:D22,D24:D34,D36:D40,D42)*$B$8</f>
        <v>0</v>
      </c>
      <c r="E46" s="163">
        <f t="shared" si="6"/>
        <v>0</v>
      </c>
      <c r="F46" s="163">
        <f t="shared" si="6"/>
        <v>0</v>
      </c>
      <c r="G46" s="163">
        <f t="shared" si="6"/>
        <v>0</v>
      </c>
      <c r="H46" s="163">
        <f t="shared" si="6"/>
        <v>0</v>
      </c>
      <c r="J46" s="163">
        <f t="shared" si="6"/>
        <v>0</v>
      </c>
      <c r="K46" s="163">
        <f t="shared" si="6"/>
        <v>0</v>
      </c>
      <c r="M46" s="126"/>
      <c r="N46" s="126"/>
      <c r="O46" s="160"/>
    </row>
    <row r="47" spans="1:15" ht="13.8" thickBot="1">
      <c r="A47" s="164" t="s">
        <v>157</v>
      </c>
      <c r="B47" s="165"/>
      <c r="C47" s="166">
        <f t="shared" ref="C47:H47" si="7">SUM(C44+C46)</f>
        <v>0</v>
      </c>
      <c r="D47" s="166">
        <f t="shared" si="7"/>
        <v>0</v>
      </c>
      <c r="E47" s="166">
        <f t="shared" si="7"/>
        <v>0</v>
      </c>
      <c r="F47" s="166">
        <f t="shared" si="7"/>
        <v>0</v>
      </c>
      <c r="G47" s="166">
        <f t="shared" si="7"/>
        <v>0</v>
      </c>
      <c r="H47" s="167">
        <f t="shared" si="7"/>
        <v>0</v>
      </c>
      <c r="J47" s="168">
        <f>SUM(J44+J46)</f>
        <v>0</v>
      </c>
      <c r="K47" s="167">
        <f>SUM(K44+K46)</f>
        <v>0</v>
      </c>
      <c r="M47" s="126"/>
      <c r="N47" s="126"/>
      <c r="O47" s="160"/>
    </row>
    <row r="48" spans="1:15">
      <c r="A48" s="160"/>
      <c r="D48" s="160"/>
      <c r="G48" s="160"/>
      <c r="J48" s="160"/>
      <c r="M48" s="126"/>
      <c r="N48" s="126"/>
      <c r="O48" s="160"/>
    </row>
    <row r="49" spans="1:14">
      <c r="A49" s="126"/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69"/>
      <c r="M49" s="126"/>
      <c r="N49" s="126"/>
    </row>
    <row r="50" spans="1:14" s="126" customFormat="1">
      <c r="A50" s="170" t="s">
        <v>158</v>
      </c>
      <c r="B50" s="170"/>
      <c r="C50" s="170"/>
      <c r="D50" s="170"/>
      <c r="E50" s="170"/>
      <c r="F50" s="170"/>
      <c r="G50" s="170"/>
      <c r="H50" s="170"/>
      <c r="I50" s="170"/>
      <c r="J50" s="170"/>
    </row>
    <row r="51" spans="1:14" s="126" customFormat="1">
      <c r="A51" s="171" t="s">
        <v>159</v>
      </c>
      <c r="B51" s="172" t="s">
        <v>160</v>
      </c>
      <c r="C51" s="172" t="s">
        <v>161</v>
      </c>
      <c r="D51" s="172" t="s">
        <v>162</v>
      </c>
      <c r="E51" s="172" t="s">
        <v>163</v>
      </c>
      <c r="F51" s="172" t="s">
        <v>164</v>
      </c>
      <c r="G51" s="172" t="s">
        <v>165</v>
      </c>
      <c r="H51" s="172" t="s">
        <v>166</v>
      </c>
      <c r="I51" s="172" t="s">
        <v>167</v>
      </c>
      <c r="J51" s="172" t="s">
        <v>157</v>
      </c>
    </row>
    <row r="52" spans="1:14" s="126" customFormat="1">
      <c r="A52" s="173"/>
      <c r="B52" s="174"/>
      <c r="C52" s="175"/>
      <c r="D52" s="176"/>
      <c r="E52" s="324" t="str">
        <f>IF(C52='Effort and OPS Salary'!$B$28,'Effort and OPS Salary'!$C$28:$C$28,IF(C52='Effort and OPS Salary'!$B$29,'Effort and OPS Salary'!$C$29:$C$29,""))</f>
        <v/>
      </c>
      <c r="F52" s="177">
        <f>IF(ISERR(D52*(1+E52)),0,D52*(1+E52))</f>
        <v>0</v>
      </c>
      <c r="G52" s="178"/>
      <c r="H52" s="178"/>
      <c r="I52" s="179">
        <f>NETWORKDAYS(G52,H52)/10</f>
        <v>0</v>
      </c>
      <c r="J52" s="180">
        <f>F52*I52*B52</f>
        <v>0</v>
      </c>
      <c r="N52" s="181"/>
    </row>
    <row r="53" spans="1:14" s="126" customFormat="1">
      <c r="A53" s="182"/>
      <c r="B53" s="183"/>
      <c r="C53" s="175"/>
      <c r="D53" s="184"/>
      <c r="E53" s="324" t="str">
        <f>IF(C53='Effort and OPS Salary'!$B$28,'Effort and OPS Salary'!$C$28:$C$28,IF(C53='Effort and OPS Salary'!$B$29,'Effort and OPS Salary'!$C$29:$C$29,""))</f>
        <v/>
      </c>
      <c r="F53" s="185">
        <f>IF(ISERR(D53*(1+E53)),0,D53*(1+E53))</f>
        <v>0</v>
      </c>
      <c r="G53" s="186"/>
      <c r="H53" s="186"/>
      <c r="I53" s="187">
        <f>NETWORKDAYS(G53,H53)/10</f>
        <v>0</v>
      </c>
      <c r="J53" s="188">
        <f>F53*I53*B53</f>
        <v>0</v>
      </c>
    </row>
    <row r="54" spans="1:14" s="126" customFormat="1">
      <c r="A54" s="182"/>
      <c r="B54" s="183"/>
      <c r="C54" s="175"/>
      <c r="D54" s="184"/>
      <c r="E54" s="324" t="str">
        <f>IF(C54='Effort and OPS Salary'!$B$28,'Effort and OPS Salary'!$C$28:$C$28,IF(C54='Effort and OPS Salary'!$B$29,'Effort and OPS Salary'!$C$29:$C$29,""))</f>
        <v/>
      </c>
      <c r="F54" s="185">
        <f>IF(ISERR(D54*(1+E54)),0,D54*(1+E54))</f>
        <v>0</v>
      </c>
      <c r="G54" s="186"/>
      <c r="H54" s="186"/>
      <c r="I54" s="187">
        <f>NETWORKDAYS(G54,H54)/10</f>
        <v>0</v>
      </c>
      <c r="J54" s="188">
        <f>F54*I54*B54</f>
        <v>0</v>
      </c>
    </row>
    <row r="55" spans="1:14" s="126" customFormat="1">
      <c r="A55" s="182"/>
      <c r="B55" s="183"/>
      <c r="C55" s="175"/>
      <c r="D55" s="184"/>
      <c r="E55" s="324" t="str">
        <f>IF(C55='Effort and OPS Salary'!$B$28,'Effort and OPS Salary'!$C$28:$C$28,IF(C55='Effort and OPS Salary'!$B$29,'Effort and OPS Salary'!$C$29:$C$29,""))</f>
        <v/>
      </c>
      <c r="F55" s="185">
        <f>IF(ISERR(D55*(1+E55)),0,D55*(1+E55))</f>
        <v>0</v>
      </c>
      <c r="G55" s="186"/>
      <c r="H55" s="186"/>
      <c r="I55" s="187">
        <f>NETWORKDAYS(G55,H55)/10</f>
        <v>0</v>
      </c>
      <c r="J55" s="188">
        <f>F55*I55*B55</f>
        <v>0</v>
      </c>
    </row>
    <row r="56" spans="1:14" s="126" customFormat="1">
      <c r="A56" s="189"/>
      <c r="B56" s="190"/>
      <c r="C56" s="175"/>
      <c r="D56" s="191"/>
      <c r="E56" s="324" t="str">
        <f>IF(C56='Effort and OPS Salary'!$B$28,'Effort and OPS Salary'!$C$28:$C$28,IF(C56='Effort and OPS Salary'!$B$29,'Effort and OPS Salary'!$C$29:$C$29,""))</f>
        <v/>
      </c>
      <c r="F56" s="192">
        <f>IF(ISERR(D56*(1+E56)),0,D56*(1+E56))</f>
        <v>0</v>
      </c>
      <c r="G56" s="193"/>
      <c r="H56" s="193"/>
      <c r="I56" s="194">
        <f>NETWORKDAYS(G56,H56)/10</f>
        <v>0</v>
      </c>
      <c r="J56" s="195">
        <f>F56*I56*B56</f>
        <v>0</v>
      </c>
    </row>
    <row r="57" spans="1:14" s="126" customFormat="1">
      <c r="A57" s="196"/>
      <c r="B57" s="197"/>
      <c r="C57" s="197"/>
      <c r="D57" s="197"/>
      <c r="E57" s="197"/>
      <c r="F57" s="197"/>
      <c r="G57" s="197"/>
      <c r="H57" s="197"/>
      <c r="I57" s="198" t="s">
        <v>22</v>
      </c>
      <c r="J57" s="199">
        <f>SUM(J52:J56)</f>
        <v>0</v>
      </c>
    </row>
    <row r="58" spans="1:14" s="126" customFormat="1"/>
    <row r="59" spans="1:14" s="126" customFormat="1">
      <c r="A59" s="170" t="s">
        <v>168</v>
      </c>
      <c r="B59" s="170"/>
      <c r="C59" s="170"/>
      <c r="D59" s="170"/>
      <c r="E59" s="170"/>
      <c r="F59" s="170"/>
      <c r="G59" s="170"/>
      <c r="H59" s="170"/>
      <c r="I59" s="170"/>
      <c r="J59" s="170"/>
      <c r="L59" s="181"/>
      <c r="M59" s="181"/>
    </row>
    <row r="60" spans="1:14" s="126" customFormat="1">
      <c r="A60" s="200" t="s">
        <v>159</v>
      </c>
      <c r="B60" s="172" t="s">
        <v>160</v>
      </c>
      <c r="C60" s="172" t="s">
        <v>161</v>
      </c>
      <c r="D60" s="172" t="s">
        <v>162</v>
      </c>
      <c r="E60" s="172" t="s">
        <v>163</v>
      </c>
      <c r="F60" s="172" t="s">
        <v>164</v>
      </c>
      <c r="G60" s="172" t="s">
        <v>165</v>
      </c>
      <c r="H60" s="172" t="s">
        <v>166</v>
      </c>
      <c r="I60" s="172" t="s">
        <v>167</v>
      </c>
      <c r="J60" s="172" t="s">
        <v>169</v>
      </c>
    </row>
    <row r="61" spans="1:14" s="126" customFormat="1">
      <c r="A61" s="201"/>
      <c r="B61" s="202"/>
      <c r="C61" s="175"/>
      <c r="D61" s="176"/>
      <c r="E61" s="324">
        <f>IF(C61='Effort and OPS Salary'!$B$30,'Effort and OPS Salary'!$C$30:$C$30,IF(C61='Effort and OPS Salary'!$B$31,'Effort and OPS Salary'!$C$31:$C$31,IF(C61='Effort and OPS Salary'!$B$32,'Effort and OPS Salary'!$C$32:$C$32,IF(C61='Effort and OPS Salary'!$B$33,'Effort and OPS Salary'!$C$33:$C$33,IF(C61='Effort and OPS Salary'!$B$34,'Effort and OPS Salary'!$C$34:$C$34,IF(C61='Effort and OPS Salary'!$B$35,'Effort and OPS Salary'!$C$35:$C$35,IF(C61='Effort and OPS Salary'!$B$36,'Effort and OPS Salary'!$C$36:$C$36,"")))))))</f>
        <v>0</v>
      </c>
      <c r="F61" s="177">
        <f t="shared" ref="F61:F72" si="8">IF(ISERR(D61*(1+E61)),0,D61*(1+E61))</f>
        <v>0</v>
      </c>
      <c r="G61" s="178"/>
      <c r="H61" s="178"/>
      <c r="I61" s="204">
        <f t="shared" ref="I61:I72" si="9">NETWORKDAYS(G61,H61)/10</f>
        <v>0</v>
      </c>
      <c r="J61" s="143">
        <f t="shared" ref="J61:J72" si="10">F61*I61*B61</f>
        <v>0</v>
      </c>
    </row>
    <row r="62" spans="1:14" s="181" customFormat="1">
      <c r="A62" s="205"/>
      <c r="B62" s="183"/>
      <c r="C62" s="175"/>
      <c r="D62" s="184"/>
      <c r="E62" s="324">
        <f>IF(C62='Effort and OPS Salary'!$B$30,'Effort and OPS Salary'!$C$30:$C$30,IF(C62='Effort and OPS Salary'!$B$31,'Effort and OPS Salary'!$C$31:$C$31,IF(C62='Effort and OPS Salary'!$B$32,'Effort and OPS Salary'!$C$32:$C$32,IF(C62='Effort and OPS Salary'!$B$33,'Effort and OPS Salary'!$C$33:$C$33,IF(C62='Effort and OPS Salary'!$B$34,'Effort and OPS Salary'!$C$34:$C$34,IF(C62='Effort and OPS Salary'!$B$35,'Effort and OPS Salary'!$C$35:$C$35,IF(C62='Effort and OPS Salary'!$B$36,'Effort and OPS Salary'!$C$36:$C$36,"")))))))</f>
        <v>0</v>
      </c>
      <c r="F62" s="185">
        <f t="shared" si="8"/>
        <v>0</v>
      </c>
      <c r="G62" s="186"/>
      <c r="H62" s="186"/>
      <c r="I62" s="187">
        <f t="shared" si="9"/>
        <v>0</v>
      </c>
      <c r="J62" s="147">
        <f t="shared" si="10"/>
        <v>0</v>
      </c>
      <c r="K62" s="126"/>
      <c r="L62" s="126"/>
      <c r="M62" s="126"/>
      <c r="N62" s="126"/>
    </row>
    <row r="63" spans="1:14" s="126" customFormat="1">
      <c r="A63" s="205"/>
      <c r="B63" s="183"/>
      <c r="C63" s="175"/>
      <c r="D63" s="184"/>
      <c r="E63" s="324">
        <f>IF(C63='Effort and OPS Salary'!$B$30,'Effort and OPS Salary'!$C$30:$C$30,IF(C63='Effort and OPS Salary'!$B$31,'Effort and OPS Salary'!$C$31:$C$31,IF(C63='Effort and OPS Salary'!$B$32,'Effort and OPS Salary'!$C$32:$C$32,IF(C63='Effort and OPS Salary'!$B$33,'Effort and OPS Salary'!$C$33:$C$33,IF(C63='Effort and OPS Salary'!$B$34,'Effort and OPS Salary'!$C$34:$C$34,IF(C63='Effort and OPS Salary'!$B$35,'Effort and OPS Salary'!$C$35:$C$35,IF(C63='Effort and OPS Salary'!$B$36,'Effort and OPS Salary'!$C$36:$C$36,"")))))))</f>
        <v>0</v>
      </c>
      <c r="F63" s="185">
        <f t="shared" si="8"/>
        <v>0</v>
      </c>
      <c r="G63" s="186"/>
      <c r="H63" s="186"/>
      <c r="I63" s="187">
        <f t="shared" si="9"/>
        <v>0</v>
      </c>
      <c r="J63" s="147">
        <f t="shared" si="10"/>
        <v>0</v>
      </c>
    </row>
    <row r="64" spans="1:14" s="126" customFormat="1">
      <c r="A64" s="205"/>
      <c r="B64" s="183"/>
      <c r="C64" s="175"/>
      <c r="D64" s="184"/>
      <c r="E64" s="324">
        <f>IF(C64='Effort and OPS Salary'!$B$30,'Effort and OPS Salary'!$C$30:$C$30,IF(C64='Effort and OPS Salary'!$B$31,'Effort and OPS Salary'!$C$31:$C$31,IF(C64='Effort and OPS Salary'!$B$32,'Effort and OPS Salary'!$C$32:$C$32,IF(C64='Effort and OPS Salary'!$B$33,'Effort and OPS Salary'!$C$33:$C$33,IF(C64='Effort and OPS Salary'!$B$34,'Effort and OPS Salary'!$C$34:$C$34,IF(C64='Effort and OPS Salary'!$B$35,'Effort and OPS Salary'!$C$35:$C$35,IF(C64='Effort and OPS Salary'!$B$36,'Effort and OPS Salary'!$C$36:$C$36,"")))))))</f>
        <v>0</v>
      </c>
      <c r="F64" s="185">
        <f t="shared" si="8"/>
        <v>0</v>
      </c>
      <c r="G64" s="186"/>
      <c r="H64" s="186"/>
      <c r="I64" s="187">
        <f t="shared" si="9"/>
        <v>0</v>
      </c>
      <c r="J64" s="147">
        <f t="shared" si="10"/>
        <v>0</v>
      </c>
    </row>
    <row r="65" spans="1:14" s="126" customFormat="1">
      <c r="A65" s="205"/>
      <c r="B65" s="183"/>
      <c r="C65" s="175"/>
      <c r="D65" s="184"/>
      <c r="E65" s="324">
        <f>IF(C65='Effort and OPS Salary'!$B$30,'Effort and OPS Salary'!$C$30:$C$30,IF(C65='Effort and OPS Salary'!$B$31,'Effort and OPS Salary'!$C$31:$C$31,IF(C65='Effort and OPS Salary'!$B$32,'Effort and OPS Salary'!$C$32:$C$32,IF(C65='Effort and OPS Salary'!$B$33,'Effort and OPS Salary'!$C$33:$C$33,IF(C65='Effort and OPS Salary'!$B$34,'Effort and OPS Salary'!$C$34:$C$34,IF(C65='Effort and OPS Salary'!$B$35,'Effort and OPS Salary'!$C$35:$C$35,IF(C65='Effort and OPS Salary'!$B$36,'Effort and OPS Salary'!$C$36:$C$36,"")))))))</f>
        <v>0</v>
      </c>
      <c r="F65" s="185">
        <f t="shared" si="8"/>
        <v>0</v>
      </c>
      <c r="G65" s="186"/>
      <c r="H65" s="186"/>
      <c r="I65" s="187">
        <f t="shared" si="9"/>
        <v>0</v>
      </c>
      <c r="J65" s="147">
        <f t="shared" si="10"/>
        <v>0</v>
      </c>
    </row>
    <row r="66" spans="1:14" s="126" customFormat="1" outlineLevel="1">
      <c r="A66" s="205"/>
      <c r="B66" s="183"/>
      <c r="C66" s="175"/>
      <c r="D66" s="184"/>
      <c r="E66" s="324">
        <f>IF(C66='Effort and OPS Salary'!$B$30,'Effort and OPS Salary'!$C$30:$C$30,IF(C66='Effort and OPS Salary'!$B$31,'Effort and OPS Salary'!$C$31:$C$31,IF(C66='Effort and OPS Salary'!$B$32,'Effort and OPS Salary'!$C$32:$C$32,IF(C66='Effort and OPS Salary'!$B$33,'Effort and OPS Salary'!$C$33:$C$33,IF(C66='Effort and OPS Salary'!$B$34,'Effort and OPS Salary'!$C$34:$C$34,IF(C66='Effort and OPS Salary'!$B$35,'Effort and OPS Salary'!$C$35:$C$35,IF(C66='Effort and OPS Salary'!$B$36,'Effort and OPS Salary'!$C$36:$C$36,"")))))))</f>
        <v>0</v>
      </c>
      <c r="F66" s="185">
        <f t="shared" si="8"/>
        <v>0</v>
      </c>
      <c r="G66" s="186"/>
      <c r="H66" s="186"/>
      <c r="I66" s="187">
        <f t="shared" si="9"/>
        <v>0</v>
      </c>
      <c r="J66" s="147">
        <f t="shared" si="10"/>
        <v>0</v>
      </c>
      <c r="N66" s="116"/>
    </row>
    <row r="67" spans="1:14" s="126" customFormat="1" outlineLevel="1">
      <c r="A67" s="205"/>
      <c r="B67" s="183"/>
      <c r="C67" s="175"/>
      <c r="D67" s="184"/>
      <c r="E67" s="324">
        <f>IF(C67='Effort and OPS Salary'!$B$30,'Effort and OPS Salary'!$C$30:$C$30,IF(C67='Effort and OPS Salary'!$B$31,'Effort and OPS Salary'!$C$31:$C$31,IF(C67='Effort and OPS Salary'!$B$32,'Effort and OPS Salary'!$C$32:$C$32,IF(C67='Effort and OPS Salary'!$B$33,'Effort and OPS Salary'!$C$33:$C$33,IF(C67='Effort and OPS Salary'!$B$34,'Effort and OPS Salary'!$C$34:$C$34,IF(C67='Effort and OPS Salary'!$B$35,'Effort and OPS Salary'!$C$35:$C$35,IF(C67='Effort and OPS Salary'!$B$36,'Effort and OPS Salary'!$C$36:$C$36,"")))))))</f>
        <v>0</v>
      </c>
      <c r="F67" s="185">
        <f t="shared" si="8"/>
        <v>0</v>
      </c>
      <c r="G67" s="186"/>
      <c r="H67" s="186"/>
      <c r="I67" s="187">
        <f t="shared" si="9"/>
        <v>0</v>
      </c>
      <c r="J67" s="147">
        <f t="shared" si="10"/>
        <v>0</v>
      </c>
      <c r="N67" s="116"/>
    </row>
    <row r="68" spans="1:14" s="126" customFormat="1" outlineLevel="1">
      <c r="A68" s="205"/>
      <c r="B68" s="183"/>
      <c r="C68" s="175"/>
      <c r="D68" s="184"/>
      <c r="E68" s="324">
        <f>IF(C68='Effort and OPS Salary'!$B$30,'Effort and OPS Salary'!$C$30:$C$30,IF(C68='Effort and OPS Salary'!$B$31,'Effort and OPS Salary'!$C$31:$C$31,IF(C68='Effort and OPS Salary'!$B$32,'Effort and OPS Salary'!$C$32:$C$32,IF(C68='Effort and OPS Salary'!$B$33,'Effort and OPS Salary'!$C$33:$C$33,IF(C68='Effort and OPS Salary'!$B$34,'Effort and OPS Salary'!$C$34:$C$34,IF(C68='Effort and OPS Salary'!$B$35,'Effort and OPS Salary'!$C$35:$C$35,IF(C68='Effort and OPS Salary'!$B$36,'Effort and OPS Salary'!$C$36:$C$36,"")))))))</f>
        <v>0</v>
      </c>
      <c r="F68" s="185">
        <f t="shared" si="8"/>
        <v>0</v>
      </c>
      <c r="G68" s="186"/>
      <c r="H68" s="186"/>
      <c r="I68" s="187">
        <f t="shared" si="9"/>
        <v>0</v>
      </c>
      <c r="J68" s="147">
        <f t="shared" si="10"/>
        <v>0</v>
      </c>
      <c r="K68" s="181"/>
      <c r="N68" s="116"/>
    </row>
    <row r="69" spans="1:14" s="126" customFormat="1" outlineLevel="1">
      <c r="A69" s="205"/>
      <c r="B69" s="183"/>
      <c r="C69" s="175"/>
      <c r="D69" s="184"/>
      <c r="E69" s="324">
        <f>IF(C69='Effort and OPS Salary'!$B$30,'Effort and OPS Salary'!$C$30:$C$30,IF(C69='Effort and OPS Salary'!$B$31,'Effort and OPS Salary'!$C$31:$C$31,IF(C69='Effort and OPS Salary'!$B$32,'Effort and OPS Salary'!$C$32:$C$32,IF(C69='Effort and OPS Salary'!$B$33,'Effort and OPS Salary'!$C$33:$C$33,IF(C69='Effort and OPS Salary'!$B$34,'Effort and OPS Salary'!$C$34:$C$34,IF(C69='Effort and OPS Salary'!$B$35,'Effort and OPS Salary'!$C$35:$C$35,IF(C69='Effort and OPS Salary'!$B$36,'Effort and OPS Salary'!$C$36:$C$36,"")))))))</f>
        <v>0</v>
      </c>
      <c r="F69" s="185">
        <f t="shared" si="8"/>
        <v>0</v>
      </c>
      <c r="G69" s="186"/>
      <c r="H69" s="186"/>
      <c r="I69" s="187">
        <f t="shared" si="9"/>
        <v>0</v>
      </c>
      <c r="J69" s="147">
        <f t="shared" si="10"/>
        <v>0</v>
      </c>
      <c r="N69" s="116"/>
    </row>
    <row r="70" spans="1:14" s="126" customFormat="1" outlineLevel="1">
      <c r="A70" s="205"/>
      <c r="B70" s="183"/>
      <c r="C70" s="175"/>
      <c r="D70" s="184"/>
      <c r="E70" s="324">
        <f>IF(C70='Effort and OPS Salary'!$B$30,'Effort and OPS Salary'!$C$30:$C$30,IF(C70='Effort and OPS Salary'!$B$31,'Effort and OPS Salary'!$C$31:$C$31,IF(C70='Effort and OPS Salary'!$B$32,'Effort and OPS Salary'!$C$32:$C$32,IF(C70='Effort and OPS Salary'!$B$33,'Effort and OPS Salary'!$C$33:$C$33,IF(C70='Effort and OPS Salary'!$B$34,'Effort and OPS Salary'!$C$34:$C$34,IF(C70='Effort and OPS Salary'!$B$35,'Effort and OPS Salary'!$C$35:$C$35,IF(C70='Effort and OPS Salary'!$B$36,'Effort and OPS Salary'!$C$36:$C$36,"")))))))</f>
        <v>0</v>
      </c>
      <c r="F70" s="185">
        <f t="shared" si="8"/>
        <v>0</v>
      </c>
      <c r="G70" s="186"/>
      <c r="H70" s="186"/>
      <c r="I70" s="187">
        <f t="shared" si="9"/>
        <v>0</v>
      </c>
      <c r="J70" s="147">
        <f t="shared" si="10"/>
        <v>0</v>
      </c>
      <c r="N70" s="116"/>
    </row>
    <row r="71" spans="1:14" s="126" customFormat="1" outlineLevel="1">
      <c r="A71" s="205"/>
      <c r="B71" s="183"/>
      <c r="C71" s="175"/>
      <c r="D71" s="184"/>
      <c r="E71" s="324">
        <f>IF(C71='Effort and OPS Salary'!$B$30,'Effort and OPS Salary'!$C$30:$C$30,IF(C71='Effort and OPS Salary'!$B$31,'Effort and OPS Salary'!$C$31:$C$31,IF(C71='Effort and OPS Salary'!$B$32,'Effort and OPS Salary'!$C$32:$C$32,IF(C71='Effort and OPS Salary'!$B$33,'Effort and OPS Salary'!$C$33:$C$33,IF(C71='Effort and OPS Salary'!$B$34,'Effort and OPS Salary'!$C$34:$C$34,IF(C71='Effort and OPS Salary'!$B$35,'Effort and OPS Salary'!$C$35:$C$35,IF(C71='Effort and OPS Salary'!$B$36,'Effort and OPS Salary'!$C$36:$C$36,"")))))))</f>
        <v>0</v>
      </c>
      <c r="F71" s="185">
        <f t="shared" si="8"/>
        <v>0</v>
      </c>
      <c r="G71" s="186"/>
      <c r="H71" s="186"/>
      <c r="I71" s="187">
        <f t="shared" si="9"/>
        <v>0</v>
      </c>
      <c r="J71" s="147">
        <f t="shared" si="10"/>
        <v>0</v>
      </c>
      <c r="N71" s="116"/>
    </row>
    <row r="72" spans="1:14" s="126" customFormat="1" outlineLevel="1">
      <c r="A72" s="207"/>
      <c r="B72" s="190"/>
      <c r="C72" s="191"/>
      <c r="D72" s="191"/>
      <c r="E72" s="192">
        <f>IF(C72='Effort and OPS Salary'!$B$30,'Effort and OPS Salary'!$C$30:$C$30,IF(C72='Effort and OPS Salary'!$B$31,'Effort and OPS Salary'!$C$31:$C$31,IF(C72='Effort and OPS Salary'!$B$32,'Effort and OPS Salary'!$C$32:$C$32,IF(C72='Effort and OPS Salary'!$B$33,'Effort and OPS Salary'!$C$33:$C$33,IF(C72='Effort and OPS Salary'!$B$34,'Effort and OPS Salary'!$C$34:$C$34,IF(C72='Effort and OPS Salary'!$B$35,'Effort and OPS Salary'!$C$35:$C$35,IF(C72='Effort and OPS Salary'!$B$36,'Effort and OPS Salary'!$C$36:$C$36,"")))))))</f>
        <v>0</v>
      </c>
      <c r="F72" s="192">
        <f t="shared" si="8"/>
        <v>0</v>
      </c>
      <c r="G72" s="193"/>
      <c r="H72" s="193"/>
      <c r="I72" s="194">
        <f t="shared" si="9"/>
        <v>0</v>
      </c>
      <c r="J72" s="209">
        <f t="shared" si="10"/>
        <v>0</v>
      </c>
      <c r="L72" s="210"/>
      <c r="N72" s="116"/>
    </row>
    <row r="73" spans="1:14" s="126" customFormat="1">
      <c r="A73" s="211"/>
      <c r="B73" s="212"/>
      <c r="C73" s="212"/>
      <c r="D73" s="212"/>
      <c r="E73" s="212"/>
      <c r="F73" s="212"/>
      <c r="G73" s="213"/>
      <c r="H73" s="212"/>
      <c r="I73" s="214" t="s">
        <v>22</v>
      </c>
      <c r="J73" s="215">
        <f>SUM(J61:J71)</f>
        <v>0</v>
      </c>
      <c r="L73" s="116"/>
      <c r="M73" s="116"/>
      <c r="N73" s="116"/>
    </row>
    <row r="74" spans="1:14" s="126" customFormat="1">
      <c r="A74" s="181"/>
      <c r="B74" s="181"/>
      <c r="C74" s="181"/>
      <c r="D74" s="181"/>
      <c r="E74" s="181"/>
      <c r="F74" s="181"/>
      <c r="H74" s="216"/>
      <c r="I74" s="181"/>
      <c r="J74" s="217"/>
      <c r="K74" s="218"/>
      <c r="L74" s="116"/>
      <c r="M74" s="116"/>
    </row>
    <row r="75" spans="1:14" s="126" customFormat="1">
      <c r="A75" s="196" t="s">
        <v>170</v>
      </c>
      <c r="B75" s="197"/>
      <c r="C75" s="197"/>
      <c r="D75" s="197"/>
      <c r="E75" s="197"/>
      <c r="F75" s="197"/>
      <c r="G75" s="197"/>
      <c r="H75" s="197"/>
      <c r="I75" s="197"/>
      <c r="J75" s="219"/>
      <c r="K75" s="210"/>
      <c r="L75" s="116"/>
      <c r="M75" s="116"/>
      <c r="N75" s="116"/>
    </row>
    <row r="76" spans="1:14">
      <c r="A76" s="220" t="s">
        <v>159</v>
      </c>
      <c r="B76" s="172" t="s">
        <v>160</v>
      </c>
      <c r="C76" s="172"/>
      <c r="D76" s="172"/>
      <c r="E76" s="172" t="s">
        <v>111</v>
      </c>
      <c r="F76" s="172" t="s">
        <v>171</v>
      </c>
      <c r="G76" s="172" t="s">
        <v>165</v>
      </c>
      <c r="H76" s="172" t="s">
        <v>166</v>
      </c>
      <c r="I76" s="172" t="s">
        <v>167</v>
      </c>
      <c r="J76" s="172" t="s">
        <v>157</v>
      </c>
    </row>
    <row r="77" spans="1:14">
      <c r="A77" s="201"/>
      <c r="B77" s="174"/>
      <c r="C77" s="323"/>
      <c r="D77" s="143"/>
      <c r="E77" s="221"/>
      <c r="F77" s="177" t="str">
        <f>(IF(E77="R","$10,769.52",IF(E77="N","$17,800.00","$0.00")))</f>
        <v>$0.00</v>
      </c>
      <c r="G77" s="178"/>
      <c r="H77" s="178"/>
      <c r="I77" s="179">
        <f t="shared" ref="I77:I88" si="11">NETWORKDAYS(G77,H77)/10</f>
        <v>0</v>
      </c>
      <c r="J77" s="222">
        <f t="shared" ref="J77:J88" si="12">(F77/26.1*I77)*B77</f>
        <v>0</v>
      </c>
    </row>
    <row r="78" spans="1:14">
      <c r="A78" s="205"/>
      <c r="B78" s="183"/>
      <c r="C78" s="323"/>
      <c r="D78" s="147"/>
      <c r="E78" s="223"/>
      <c r="F78" s="185" t="str">
        <f t="shared" ref="F78:F88" si="13">(IF(E78="R","$10,769.52",IF(E78="N","$17,800.00","$0.00")))</f>
        <v>$0.00</v>
      </c>
      <c r="G78" s="186"/>
      <c r="H78" s="186"/>
      <c r="I78" s="187">
        <f t="shared" si="11"/>
        <v>0</v>
      </c>
      <c r="J78" s="188">
        <f t="shared" si="12"/>
        <v>0</v>
      </c>
    </row>
    <row r="79" spans="1:14">
      <c r="A79" s="224"/>
      <c r="B79" s="183"/>
      <c r="C79" s="323"/>
      <c r="D79" s="147"/>
      <c r="E79" s="223"/>
      <c r="F79" s="185" t="str">
        <f t="shared" si="13"/>
        <v>$0.00</v>
      </c>
      <c r="G79" s="186"/>
      <c r="H79" s="186"/>
      <c r="I79" s="187">
        <f t="shared" si="11"/>
        <v>0</v>
      </c>
      <c r="J79" s="188">
        <f t="shared" si="12"/>
        <v>0</v>
      </c>
    </row>
    <row r="80" spans="1:14">
      <c r="A80" s="224"/>
      <c r="B80" s="183"/>
      <c r="C80" s="323"/>
      <c r="D80" s="147"/>
      <c r="E80" s="223"/>
      <c r="F80" s="185" t="str">
        <f t="shared" si="13"/>
        <v>$0.00</v>
      </c>
      <c r="G80" s="186"/>
      <c r="H80" s="186"/>
      <c r="I80" s="187">
        <f t="shared" si="11"/>
        <v>0</v>
      </c>
      <c r="J80" s="188">
        <f t="shared" si="12"/>
        <v>0</v>
      </c>
    </row>
    <row r="81" spans="1:13">
      <c r="A81" s="224"/>
      <c r="B81" s="183"/>
      <c r="C81" s="323"/>
      <c r="D81" s="147"/>
      <c r="E81" s="223"/>
      <c r="F81" s="185" t="str">
        <f t="shared" si="13"/>
        <v>$0.00</v>
      </c>
      <c r="G81" s="186"/>
      <c r="H81" s="186"/>
      <c r="I81" s="187">
        <f t="shared" si="11"/>
        <v>0</v>
      </c>
      <c r="J81" s="188">
        <f t="shared" si="12"/>
        <v>0</v>
      </c>
    </row>
    <row r="82" spans="1:13" outlineLevel="1">
      <c r="A82" s="224"/>
      <c r="B82" s="183"/>
      <c r="C82" s="323"/>
      <c r="D82" s="147"/>
      <c r="E82" s="223"/>
      <c r="F82" s="185" t="str">
        <f t="shared" si="13"/>
        <v>$0.00</v>
      </c>
      <c r="G82" s="186"/>
      <c r="H82" s="186"/>
      <c r="I82" s="187">
        <f t="shared" si="11"/>
        <v>0</v>
      </c>
      <c r="J82" s="188">
        <f t="shared" si="12"/>
        <v>0</v>
      </c>
    </row>
    <row r="83" spans="1:13" outlineLevel="1">
      <c r="A83" s="224"/>
      <c r="B83" s="183"/>
      <c r="C83" s="323"/>
      <c r="D83" s="147"/>
      <c r="E83" s="223"/>
      <c r="F83" s="185" t="str">
        <f t="shared" si="13"/>
        <v>$0.00</v>
      </c>
      <c r="G83" s="186"/>
      <c r="H83" s="186"/>
      <c r="I83" s="187">
        <f t="shared" si="11"/>
        <v>0</v>
      </c>
      <c r="J83" s="188">
        <f t="shared" si="12"/>
        <v>0</v>
      </c>
    </row>
    <row r="84" spans="1:13" outlineLevel="1">
      <c r="A84" s="224"/>
      <c r="B84" s="183"/>
      <c r="C84" s="323"/>
      <c r="D84" s="147"/>
      <c r="E84" s="223"/>
      <c r="F84" s="185" t="str">
        <f t="shared" si="13"/>
        <v>$0.00</v>
      </c>
      <c r="G84" s="186"/>
      <c r="H84" s="186"/>
      <c r="I84" s="187">
        <f t="shared" si="11"/>
        <v>0</v>
      </c>
      <c r="J84" s="188">
        <f t="shared" si="12"/>
        <v>0</v>
      </c>
    </row>
    <row r="85" spans="1:13" outlineLevel="1">
      <c r="A85" s="224"/>
      <c r="B85" s="183"/>
      <c r="C85" s="323"/>
      <c r="D85" s="147"/>
      <c r="E85" s="223"/>
      <c r="F85" s="185" t="str">
        <f t="shared" si="13"/>
        <v>$0.00</v>
      </c>
      <c r="G85" s="186"/>
      <c r="H85" s="186"/>
      <c r="I85" s="187">
        <f t="shared" si="11"/>
        <v>0</v>
      </c>
      <c r="J85" s="188">
        <f t="shared" si="12"/>
        <v>0</v>
      </c>
    </row>
    <row r="86" spans="1:13" outlineLevel="1">
      <c r="A86" s="205"/>
      <c r="B86" s="183"/>
      <c r="C86" s="323"/>
      <c r="D86" s="147"/>
      <c r="E86" s="223"/>
      <c r="F86" s="185" t="str">
        <f t="shared" si="13"/>
        <v>$0.00</v>
      </c>
      <c r="G86" s="186"/>
      <c r="H86" s="186"/>
      <c r="I86" s="187">
        <f t="shared" si="11"/>
        <v>0</v>
      </c>
      <c r="J86" s="188">
        <f t="shared" si="12"/>
        <v>0</v>
      </c>
    </row>
    <row r="87" spans="1:13" outlineLevel="1">
      <c r="A87" s="205"/>
      <c r="B87" s="183"/>
      <c r="C87" s="323"/>
      <c r="D87" s="147"/>
      <c r="E87" s="223"/>
      <c r="F87" s="185" t="str">
        <f t="shared" si="13"/>
        <v>$0.00</v>
      </c>
      <c r="G87" s="186"/>
      <c r="H87" s="186"/>
      <c r="I87" s="187">
        <f t="shared" si="11"/>
        <v>0</v>
      </c>
      <c r="J87" s="188">
        <f t="shared" si="12"/>
        <v>0</v>
      </c>
    </row>
    <row r="88" spans="1:13" outlineLevel="1">
      <c r="A88" s="207"/>
      <c r="B88" s="190"/>
      <c r="C88" s="323"/>
      <c r="D88" s="209"/>
      <c r="E88" s="225"/>
      <c r="F88" s="192" t="str">
        <f t="shared" si="13"/>
        <v>$0.00</v>
      </c>
      <c r="G88" s="193"/>
      <c r="H88" s="193"/>
      <c r="I88" s="194">
        <f t="shared" si="11"/>
        <v>0</v>
      </c>
      <c r="J88" s="195">
        <f t="shared" si="12"/>
        <v>0</v>
      </c>
      <c r="L88" s="226"/>
      <c r="M88" s="227"/>
    </row>
    <row r="89" spans="1:13">
      <c r="A89" s="228"/>
      <c r="B89" s="197"/>
      <c r="C89" s="197"/>
      <c r="D89" s="229"/>
      <c r="E89" s="197"/>
      <c r="F89" s="229"/>
      <c r="G89" s="197"/>
      <c r="H89" s="197"/>
      <c r="I89" s="230" t="s">
        <v>22</v>
      </c>
      <c r="J89" s="231">
        <f>SUM(J77:J88)</f>
        <v>0</v>
      </c>
    </row>
    <row r="90" spans="1:13">
      <c r="A90" s="548"/>
      <c r="B90" s="548"/>
      <c r="C90" s="232"/>
      <c r="D90" s="210"/>
      <c r="E90" s="210"/>
      <c r="F90" s="210"/>
      <c r="H90" s="210"/>
      <c r="I90" s="126"/>
      <c r="J90" s="126"/>
      <c r="K90" s="126"/>
    </row>
    <row r="91" spans="1:13">
      <c r="A91" s="170" t="s">
        <v>172</v>
      </c>
      <c r="B91" s="170"/>
      <c r="C91" s="170"/>
      <c r="D91" s="170"/>
      <c r="E91" s="170"/>
      <c r="F91" s="170"/>
      <c r="G91" s="170"/>
      <c r="H91" s="170"/>
      <c r="I91" s="170"/>
      <c r="J91" s="170"/>
      <c r="K91" s="181"/>
    </row>
    <row r="92" spans="1:13">
      <c r="A92" s="549" t="s">
        <v>173</v>
      </c>
      <c r="B92" s="550"/>
      <c r="C92" s="550"/>
      <c r="D92" s="550"/>
      <c r="E92" s="551"/>
      <c r="F92" s="172" t="s">
        <v>174</v>
      </c>
      <c r="G92" s="172" t="s">
        <v>175</v>
      </c>
      <c r="H92" s="552" t="s">
        <v>176</v>
      </c>
      <c r="I92" s="552"/>
      <c r="J92" s="172" t="s">
        <v>177</v>
      </c>
      <c r="K92" s="233"/>
    </row>
    <row r="93" spans="1:13">
      <c r="A93" s="529"/>
      <c r="B93" s="530"/>
      <c r="C93" s="530"/>
      <c r="D93" s="530"/>
      <c r="E93" s="531"/>
      <c r="F93" s="203"/>
      <c r="G93" s="234"/>
      <c r="H93" s="532"/>
      <c r="I93" s="533"/>
      <c r="J93" s="235"/>
    </row>
    <row r="94" spans="1:13">
      <c r="A94" s="534"/>
      <c r="B94" s="535"/>
      <c r="C94" s="535"/>
      <c r="D94" s="535"/>
      <c r="E94" s="536"/>
      <c r="F94" s="203"/>
      <c r="G94" s="236"/>
      <c r="H94" s="542"/>
      <c r="I94" s="543"/>
      <c r="J94" s="176"/>
    </row>
    <row r="95" spans="1:13">
      <c r="A95" s="534"/>
      <c r="B95" s="535"/>
      <c r="C95" s="535"/>
      <c r="D95" s="535"/>
      <c r="E95" s="536"/>
      <c r="F95" s="206"/>
      <c r="G95" s="237"/>
      <c r="H95" s="542"/>
      <c r="I95" s="543"/>
      <c r="J95" s="184"/>
    </row>
    <row r="96" spans="1:13">
      <c r="A96" s="534"/>
      <c r="B96" s="535"/>
      <c r="C96" s="535"/>
      <c r="D96" s="535"/>
      <c r="E96" s="536"/>
      <c r="F96" s="206"/>
      <c r="G96" s="237"/>
      <c r="H96" s="542"/>
      <c r="I96" s="543"/>
      <c r="J96" s="184"/>
    </row>
    <row r="97" spans="1:10">
      <c r="A97" s="534"/>
      <c r="B97" s="535"/>
      <c r="C97" s="535"/>
      <c r="D97" s="535"/>
      <c r="E97" s="536"/>
      <c r="F97" s="206"/>
      <c r="G97" s="237"/>
      <c r="H97" s="542"/>
      <c r="I97" s="543"/>
      <c r="J97" s="184"/>
    </row>
    <row r="98" spans="1:10">
      <c r="A98" s="537"/>
      <c r="B98" s="538"/>
      <c r="C98" s="538"/>
      <c r="D98" s="538"/>
      <c r="E98" s="539"/>
      <c r="F98" s="208"/>
      <c r="G98" s="238"/>
      <c r="H98" s="540"/>
      <c r="I98" s="541"/>
      <c r="J98" s="191"/>
    </row>
    <row r="99" spans="1:10">
      <c r="A99" s="130"/>
      <c r="B99" s="130"/>
      <c r="C99" s="130"/>
      <c r="D99" s="130"/>
      <c r="E99" s="130"/>
      <c r="F99" s="130"/>
      <c r="G99" s="130"/>
      <c r="H99" s="130"/>
      <c r="J99" s="160"/>
    </row>
    <row r="100" spans="1:10">
      <c r="H100" s="160"/>
    </row>
  </sheetData>
  <sheetProtection selectLockedCells="1"/>
  <mergeCells count="29">
    <mergeCell ref="A14:B14"/>
    <mergeCell ref="I1:J1"/>
    <mergeCell ref="M1:N1"/>
    <mergeCell ref="I2:J2"/>
    <mergeCell ref="I3:J3"/>
    <mergeCell ref="I4:J4"/>
    <mergeCell ref="I5:J5"/>
    <mergeCell ref="I6:J6"/>
    <mergeCell ref="I7:J7"/>
    <mergeCell ref="A11:B11"/>
    <mergeCell ref="A12:B12"/>
    <mergeCell ref="A13:B13"/>
    <mergeCell ref="A42:B42"/>
    <mergeCell ref="A43:B43"/>
    <mergeCell ref="A90:B90"/>
    <mergeCell ref="A92:E92"/>
    <mergeCell ref="H92:I92"/>
    <mergeCell ref="A93:E93"/>
    <mergeCell ref="H93:I93"/>
    <mergeCell ref="A97:E97"/>
    <mergeCell ref="A98:E98"/>
    <mergeCell ref="H98:I98"/>
    <mergeCell ref="A94:E94"/>
    <mergeCell ref="H94:I94"/>
    <mergeCell ref="A95:E95"/>
    <mergeCell ref="H95:I95"/>
    <mergeCell ref="A96:E96"/>
    <mergeCell ref="H96:I96"/>
    <mergeCell ref="H97:I97"/>
  </mergeCells>
  <dataValidations count="2">
    <dataValidation type="list" allowBlank="1" showInputMessage="1" showErrorMessage="1" sqref="E77:E88" xr:uid="{00000000-0002-0000-0200-000000000000}">
      <formula1>$M$2:$M$3</formula1>
    </dataValidation>
    <dataValidation type="list" allowBlank="1" showInputMessage="1" showErrorMessage="1" sqref="H93:H98" xr:uid="{00000000-0002-0000-0200-000001000000}">
      <formula1>$A$24:$A$41</formula1>
    </dataValidation>
  </dataValidations>
  <pageMargins left="0.5" right="0.5" top="0.75" bottom="0.5" header="0.5" footer="0.5"/>
  <pageSetup scale="83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2000000}">
          <x14:formula1>
            <xm:f>'Effort and OPS Salary'!$B$30:$B$36</xm:f>
          </x14:formula1>
          <xm:sqref>C61:C72</xm:sqref>
        </x14:dataValidation>
        <x14:dataValidation type="list" allowBlank="1" showInputMessage="1" showErrorMessage="1" xr:uid="{00000000-0002-0000-0200-000003000000}">
          <x14:formula1>
            <xm:f>'Effort and OPS Salary'!$B$28:$B$29</xm:f>
          </x14:formula1>
          <xm:sqref>C52:C56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AD55"/>
  <sheetViews>
    <sheetView zoomScale="90" zoomScaleNormal="90" workbookViewId="0">
      <pane ySplit="3" topLeftCell="A4" activePane="bottomLeft" state="frozen"/>
      <selection pane="bottomLeft" activeCell="A32" sqref="A32"/>
    </sheetView>
  </sheetViews>
  <sheetFormatPr defaultColWidth="8" defaultRowHeight="14.4" outlineLevelRow="1" outlineLevelCol="1"/>
  <cols>
    <col min="1" max="1" width="34.8984375" style="17" customWidth="1"/>
    <col min="2" max="2" width="7.5" style="17" bestFit="1" customWidth="1"/>
    <col min="3" max="3" width="10.3984375" style="17" bestFit="1" customWidth="1"/>
    <col min="4" max="4" width="11.3984375" style="17" bestFit="1" customWidth="1"/>
    <col min="5" max="5" width="7.59765625" style="17" customWidth="1"/>
    <col min="6" max="6" width="10.8984375" style="17" bestFit="1" customWidth="1"/>
    <col min="7" max="7" width="12.5" style="17" bestFit="1" customWidth="1"/>
    <col min="8" max="8" width="9.8984375" style="17" bestFit="1" customWidth="1"/>
    <col min="9" max="9" width="9.59765625" style="17" customWidth="1"/>
    <col min="10" max="10" width="10.8984375" style="17" bestFit="1" customWidth="1"/>
    <col min="11" max="12" width="9.59765625" style="17" hidden="1" customWidth="1"/>
    <col min="13" max="13" width="11.3984375" style="17" hidden="1" customWidth="1"/>
    <col min="14" max="15" width="9.59765625" style="17" hidden="1" customWidth="1"/>
    <col min="16" max="16" width="11.69921875" style="17" hidden="1" customWidth="1"/>
    <col min="17" max="25" width="11.69921875" style="17" hidden="1" customWidth="1" outlineLevel="1"/>
    <col min="26" max="26" width="11.69921875" style="17" customWidth="1" collapsed="1"/>
    <col min="27" max="27" width="28" style="17" bestFit="1" customWidth="1"/>
    <col min="28" max="28" width="8" style="17"/>
    <col min="29" max="29" width="9.09765625" style="17" customWidth="1"/>
    <col min="30" max="30" width="10.09765625" style="17" bestFit="1" customWidth="1"/>
    <col min="31" max="16384" width="8" style="17"/>
  </cols>
  <sheetData>
    <row r="1" spans="1:27" ht="36" customHeight="1" thickBot="1">
      <c r="A1" s="566" t="s">
        <v>56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  <c r="AA1" s="566"/>
    </row>
    <row r="2" spans="1:27" ht="14.4" customHeight="1">
      <c r="A2" s="567" t="s">
        <v>178</v>
      </c>
      <c r="B2" s="569" t="str">
        <f>Budget!F9</f>
        <v>Year 1</v>
      </c>
      <c r="C2" s="570"/>
      <c r="D2" s="571"/>
      <c r="E2" s="569" t="str">
        <f>Budget!I9</f>
        <v>Year 2</v>
      </c>
      <c r="F2" s="570"/>
      <c r="G2" s="571"/>
      <c r="H2" s="569" t="str">
        <f>Budget!L9</f>
        <v>Year 3</v>
      </c>
      <c r="I2" s="570"/>
      <c r="J2" s="571"/>
      <c r="K2" s="569" t="str">
        <f>Budget!O9</f>
        <v>Year Four</v>
      </c>
      <c r="L2" s="570"/>
      <c r="M2" s="571"/>
      <c r="N2" s="569" t="str">
        <f>Budget!R9</f>
        <v>Year Five</v>
      </c>
      <c r="O2" s="570"/>
      <c r="P2" s="571"/>
      <c r="Q2" s="569" t="str">
        <f>Budget!U9</f>
        <v>Year Six</v>
      </c>
      <c r="R2" s="570"/>
      <c r="S2" s="571"/>
      <c r="T2" s="569" t="str">
        <f>Budget!X9</f>
        <v>Year Seven</v>
      </c>
      <c r="U2" s="570"/>
      <c r="V2" s="571"/>
      <c r="W2" s="569" t="str">
        <f>Budget!AA9</f>
        <v>Year Eight</v>
      </c>
      <c r="X2" s="570"/>
      <c r="Y2" s="571"/>
      <c r="Z2" s="564" t="s">
        <v>72</v>
      </c>
      <c r="AA2" s="572" t="s">
        <v>42</v>
      </c>
    </row>
    <row r="3" spans="1:27" ht="30.75" customHeight="1">
      <c r="A3" s="568"/>
      <c r="B3" s="244" t="s">
        <v>71</v>
      </c>
      <c r="C3" s="245" t="s">
        <v>43</v>
      </c>
      <c r="D3" s="246" t="s">
        <v>44</v>
      </c>
      <c r="E3" s="244" t="s">
        <v>71</v>
      </c>
      <c r="F3" s="245" t="s">
        <v>43</v>
      </c>
      <c r="G3" s="246" t="s">
        <v>44</v>
      </c>
      <c r="H3" s="244" t="s">
        <v>71</v>
      </c>
      <c r="I3" s="245" t="s">
        <v>43</v>
      </c>
      <c r="J3" s="246" t="s">
        <v>44</v>
      </c>
      <c r="K3" s="244" t="s">
        <v>71</v>
      </c>
      <c r="L3" s="245" t="s">
        <v>43</v>
      </c>
      <c r="M3" s="246" t="s">
        <v>44</v>
      </c>
      <c r="N3" s="244" t="s">
        <v>71</v>
      </c>
      <c r="O3" s="245" t="s">
        <v>43</v>
      </c>
      <c r="P3" s="246" t="s">
        <v>44</v>
      </c>
      <c r="Q3" s="244" t="s">
        <v>71</v>
      </c>
      <c r="R3" s="245" t="s">
        <v>43</v>
      </c>
      <c r="S3" s="246" t="s">
        <v>44</v>
      </c>
      <c r="T3" s="244" t="s">
        <v>71</v>
      </c>
      <c r="U3" s="245" t="s">
        <v>43</v>
      </c>
      <c r="V3" s="246" t="s">
        <v>44</v>
      </c>
      <c r="W3" s="244" t="s">
        <v>71</v>
      </c>
      <c r="X3" s="245" t="s">
        <v>43</v>
      </c>
      <c r="Y3" s="246" t="s">
        <v>44</v>
      </c>
      <c r="Z3" s="565"/>
      <c r="AA3" s="573"/>
    </row>
    <row r="4" spans="1:27">
      <c r="A4" s="247" t="s">
        <v>11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9"/>
      <c r="AA4" s="250"/>
    </row>
    <row r="5" spans="1:27">
      <c r="A5" s="47">
        <f>Budget!B11</f>
        <v>0</v>
      </c>
      <c r="B5" s="286">
        <f>ROUND(Budget!G11*$AD$27,2)</f>
        <v>0</v>
      </c>
      <c r="C5" s="49">
        <f>(Budget!D11/12)/$AD$27</f>
        <v>0</v>
      </c>
      <c r="D5" s="50">
        <f>B5*C5</f>
        <v>0</v>
      </c>
      <c r="E5" s="48">
        <f>Budget!J11*$AD$27</f>
        <v>0</v>
      </c>
      <c r="F5" s="49">
        <f>(Budget!D11/12)/$AD$27*1.03</f>
        <v>0</v>
      </c>
      <c r="G5" s="50">
        <f>E5*F5</f>
        <v>0</v>
      </c>
      <c r="H5" s="286">
        <f>Budget!M11*$AD$27</f>
        <v>0</v>
      </c>
      <c r="I5" s="49">
        <f>(Budget!D11/12)/$AD$27*1.03^2</f>
        <v>0</v>
      </c>
      <c r="J5" s="51">
        <f t="shared" ref="J5:J14" si="0">H5*I5</f>
        <v>0</v>
      </c>
      <c r="K5" s="48">
        <f>Budget!P11*$AD$27</f>
        <v>0</v>
      </c>
      <c r="L5" s="49">
        <f>(Budget!D11/12)/$AD$27*1.03^4</f>
        <v>0</v>
      </c>
      <c r="M5" s="51">
        <f t="shared" ref="M5:M14" si="1">K5*L5</f>
        <v>0</v>
      </c>
      <c r="N5" s="48">
        <f>Budget!S11*$AD$27</f>
        <v>0</v>
      </c>
      <c r="O5" s="49">
        <f>(Budget!D11/12)/$AD$27*1.03^5</f>
        <v>0</v>
      </c>
      <c r="P5" s="37">
        <f t="shared" ref="P5:P14" si="2">N5*O5</f>
        <v>0</v>
      </c>
      <c r="Q5" s="284">
        <f>Budget!V11*$AD$27</f>
        <v>0</v>
      </c>
      <c r="R5" s="31">
        <f>(Budget!D11/12)/$AD$27*1.03^6</f>
        <v>0</v>
      </c>
      <c r="S5" s="38">
        <f t="shared" ref="S5:Y5" si="3">Q5*R5</f>
        <v>0</v>
      </c>
      <c r="T5" s="284">
        <f>Budget!Y11*$AD$27</f>
        <v>0</v>
      </c>
      <c r="U5" s="31">
        <f>(Budget!D11/12)/$AD$27*1.03^7</f>
        <v>0</v>
      </c>
      <c r="V5" s="38">
        <f t="shared" si="3"/>
        <v>0</v>
      </c>
      <c r="W5" s="284">
        <f>Budget!AB11*$AD$27</f>
        <v>0</v>
      </c>
      <c r="X5" s="31">
        <f>(Budget!D11/12)/$AD$27*1.03^8</f>
        <v>0</v>
      </c>
      <c r="Y5" s="38">
        <f t="shared" si="3"/>
        <v>0</v>
      </c>
      <c r="Z5" s="296">
        <f>SUM(B5,E5,H5,K5,N5,Q5,T5,W5)</f>
        <v>0</v>
      </c>
      <c r="AA5" s="51">
        <f>SUM(D5,G5,J5,M5,P5,S5,V5,Y5)</f>
        <v>0</v>
      </c>
    </row>
    <row r="6" spans="1:27">
      <c r="A6" s="47">
        <f>Budget!B12</f>
        <v>0</v>
      </c>
      <c r="B6" s="286">
        <f>Budget!G12*$AD$27</f>
        <v>0</v>
      </c>
      <c r="C6" s="49">
        <f>(Budget!D12/12)/$AD$27*1.03</f>
        <v>0</v>
      </c>
      <c r="D6" s="38">
        <f t="shared" ref="D6:D14" si="4">B6*C6</f>
        <v>0</v>
      </c>
      <c r="E6" s="48">
        <f>Budget!J12*$AD$27</f>
        <v>0</v>
      </c>
      <c r="F6" s="49">
        <f>(Budget!D12/12)/$AD$27*1.03^2</f>
        <v>0</v>
      </c>
      <c r="G6" s="38">
        <f t="shared" ref="G6:G14" si="5">E6*F6</f>
        <v>0</v>
      </c>
      <c r="H6" s="48">
        <f>Budget!M12*$AD$27</f>
        <v>0</v>
      </c>
      <c r="I6" s="49">
        <f>(Budget!D12/12)/$AD$27*1.03^3</f>
        <v>0</v>
      </c>
      <c r="J6" s="37">
        <f t="shared" si="0"/>
        <v>0</v>
      </c>
      <c r="K6" s="48">
        <f>Budget!P12*$AD$27</f>
        <v>0</v>
      </c>
      <c r="L6" s="49">
        <f>(Budget!D12/12)/$AD$27*1.03^4</f>
        <v>0</v>
      </c>
      <c r="M6" s="37">
        <f t="shared" si="1"/>
        <v>0</v>
      </c>
      <c r="N6" s="48">
        <f>Budget!S12*$AD$27</f>
        <v>0</v>
      </c>
      <c r="O6" s="49">
        <f>(Budget!D12/12)/$AD$27*1.03^5</f>
        <v>0</v>
      </c>
      <c r="P6" s="37">
        <f t="shared" si="2"/>
        <v>0</v>
      </c>
      <c r="Q6" s="284">
        <f>Budget!V12*$AD$27</f>
        <v>0</v>
      </c>
      <c r="R6" s="31">
        <f>(Budget!D12/12)/$AD$27*1.03^6</f>
        <v>0</v>
      </c>
      <c r="S6" s="38">
        <f t="shared" ref="S6:Y6" si="6">Q6*R6</f>
        <v>0</v>
      </c>
      <c r="T6" s="284">
        <f>Budget!Y12*$AD$27</f>
        <v>0</v>
      </c>
      <c r="U6" s="31">
        <f>(Budget!D12/12)/$AD$27*1.03^7</f>
        <v>0</v>
      </c>
      <c r="V6" s="38">
        <f t="shared" si="6"/>
        <v>0</v>
      </c>
      <c r="W6" s="284">
        <f>Budget!AB12*$AD$27</f>
        <v>0</v>
      </c>
      <c r="X6" s="31">
        <f>(Budget!D12/12)/$AD$27*1.03^8</f>
        <v>0</v>
      </c>
      <c r="Y6" s="38">
        <f t="shared" si="6"/>
        <v>0</v>
      </c>
      <c r="Z6" s="296">
        <f t="shared" ref="Z6:Z25" si="7">SUM(B6,E6,H6,K6,N6,Q6,T6,W6)</f>
        <v>0</v>
      </c>
      <c r="AA6" s="51">
        <f t="shared" ref="AA6:AA25" si="8">SUM(D6,G6,J6,M6,P6,S6,V6,Y6)</f>
        <v>0</v>
      </c>
    </row>
    <row r="7" spans="1:27">
      <c r="A7" s="47">
        <f>Budget!B13</f>
        <v>0</v>
      </c>
      <c r="B7" s="286">
        <f>Budget!G13*$AD$27</f>
        <v>0</v>
      </c>
      <c r="C7" s="49">
        <f>(Budget!D13/12)/$AD$27*1.03</f>
        <v>0</v>
      </c>
      <c r="D7" s="38">
        <f t="shared" si="4"/>
        <v>0</v>
      </c>
      <c r="E7" s="48">
        <f>Budget!J13*$AD$27</f>
        <v>0</v>
      </c>
      <c r="F7" s="49">
        <f>(Budget!D13/12)/$AD$27*1.03^2</f>
        <v>0</v>
      </c>
      <c r="G7" s="38">
        <f t="shared" si="5"/>
        <v>0</v>
      </c>
      <c r="H7" s="48">
        <f>Budget!M13*$AD$27</f>
        <v>0</v>
      </c>
      <c r="I7" s="49">
        <f>(Budget!D13/12)/$AD$27*1.03^3</f>
        <v>0</v>
      </c>
      <c r="J7" s="37">
        <f t="shared" si="0"/>
        <v>0</v>
      </c>
      <c r="K7" s="48">
        <f>Budget!P13*$AD$27</f>
        <v>0</v>
      </c>
      <c r="L7" s="49">
        <f>(Budget!D13/12)/$AD$27*1.03^4</f>
        <v>0</v>
      </c>
      <c r="M7" s="37">
        <f t="shared" si="1"/>
        <v>0</v>
      </c>
      <c r="N7" s="48">
        <f>Budget!S13*$AD$27</f>
        <v>0</v>
      </c>
      <c r="O7" s="49">
        <f>(Budget!D13/12)/$AD$27*1.03^5</f>
        <v>0</v>
      </c>
      <c r="P7" s="37">
        <f t="shared" si="2"/>
        <v>0</v>
      </c>
      <c r="Q7" s="284">
        <f>Budget!V13*$AD$27</f>
        <v>0</v>
      </c>
      <c r="R7" s="31">
        <f>(Budget!D13/12)/$AD$27*1.03^6</f>
        <v>0</v>
      </c>
      <c r="S7" s="38">
        <f t="shared" ref="S7:Y7" si="9">Q7*R7</f>
        <v>0</v>
      </c>
      <c r="T7" s="284">
        <f>Budget!Y13*$AD$27</f>
        <v>0</v>
      </c>
      <c r="U7" s="31">
        <f>(Budget!D13/12)/$AD$27*1.03^7</f>
        <v>0</v>
      </c>
      <c r="V7" s="38">
        <f t="shared" si="9"/>
        <v>0</v>
      </c>
      <c r="W7" s="284">
        <f>Budget!AB13*$AD$27</f>
        <v>0</v>
      </c>
      <c r="X7" s="31">
        <f>(Budget!D13/12)/$AD$27*1.03^8</f>
        <v>0</v>
      </c>
      <c r="Y7" s="38">
        <f t="shared" si="9"/>
        <v>0</v>
      </c>
      <c r="Z7" s="296">
        <f t="shared" si="7"/>
        <v>0</v>
      </c>
      <c r="AA7" s="51">
        <f t="shared" si="8"/>
        <v>0</v>
      </c>
    </row>
    <row r="8" spans="1:27">
      <c r="A8" s="47">
        <f>Budget!B14</f>
        <v>0</v>
      </c>
      <c r="B8" s="286">
        <f>Budget!G14*$AD$27</f>
        <v>0</v>
      </c>
      <c r="C8" s="49">
        <f>(Budget!D14/12)/$AD$27*1.03</f>
        <v>0</v>
      </c>
      <c r="D8" s="38">
        <f t="shared" si="4"/>
        <v>0</v>
      </c>
      <c r="E8" s="48">
        <f>Budget!J14*$AD$27</f>
        <v>0</v>
      </c>
      <c r="F8" s="49">
        <f>(Budget!D14/12)/$AD$27*1.03^2</f>
        <v>0</v>
      </c>
      <c r="G8" s="38">
        <f t="shared" si="5"/>
        <v>0</v>
      </c>
      <c r="H8" s="48">
        <f>Budget!M14*$AD$27</f>
        <v>0</v>
      </c>
      <c r="I8" s="49">
        <f>(Budget!D14/12)/$AD$27*1.03^3</f>
        <v>0</v>
      </c>
      <c r="J8" s="37">
        <f t="shared" si="0"/>
        <v>0</v>
      </c>
      <c r="K8" s="48">
        <f>Budget!P14*$AD$27</f>
        <v>0</v>
      </c>
      <c r="L8" s="49">
        <f>(Budget!D14/12)/$AD$27*1.03^4</f>
        <v>0</v>
      </c>
      <c r="M8" s="37">
        <f t="shared" si="1"/>
        <v>0</v>
      </c>
      <c r="N8" s="48">
        <f>Budget!S14*$AD$27</f>
        <v>0</v>
      </c>
      <c r="O8" s="49">
        <f>(Budget!D14/12)/$AD$27*1.03^5</f>
        <v>0</v>
      </c>
      <c r="P8" s="37">
        <f t="shared" si="2"/>
        <v>0</v>
      </c>
      <c r="Q8" s="284">
        <f>Budget!V14*$AD$27</f>
        <v>0</v>
      </c>
      <c r="R8" s="31">
        <f>(Budget!D14/12)/$AD$27*1.03^6</f>
        <v>0</v>
      </c>
      <c r="S8" s="38">
        <f t="shared" ref="S8:Y8" si="10">Q8*R8</f>
        <v>0</v>
      </c>
      <c r="T8" s="284">
        <f>Budget!Y14*$AD$27</f>
        <v>0</v>
      </c>
      <c r="U8" s="31">
        <f>(Budget!D14/12)/$AD$27*1.03^7</f>
        <v>0</v>
      </c>
      <c r="V8" s="38">
        <f t="shared" si="10"/>
        <v>0</v>
      </c>
      <c r="W8" s="284">
        <f>Budget!AB14*$AD$27</f>
        <v>0</v>
      </c>
      <c r="X8" s="31">
        <f>(Budget!D14/12)/$AD$27*1.03^8</f>
        <v>0</v>
      </c>
      <c r="Y8" s="38">
        <f t="shared" si="10"/>
        <v>0</v>
      </c>
      <c r="Z8" s="296">
        <f t="shared" si="7"/>
        <v>0</v>
      </c>
      <c r="AA8" s="51">
        <f t="shared" si="8"/>
        <v>0</v>
      </c>
    </row>
    <row r="9" spans="1:27">
      <c r="A9" s="47">
        <f>Budget!B15</f>
        <v>0</v>
      </c>
      <c r="B9" s="286">
        <f>Budget!G15*$AD$27</f>
        <v>0</v>
      </c>
      <c r="C9" s="49">
        <f>(Budget!D15/12)/$AD$27*1.03</f>
        <v>0</v>
      </c>
      <c r="D9" s="38">
        <f t="shared" si="4"/>
        <v>0</v>
      </c>
      <c r="E9" s="48">
        <f>Budget!J15*$AD$27</f>
        <v>0</v>
      </c>
      <c r="F9" s="49">
        <f>(Budget!D15/12)/$AD$27*1.03^2</f>
        <v>0</v>
      </c>
      <c r="G9" s="38">
        <f t="shared" si="5"/>
        <v>0</v>
      </c>
      <c r="H9" s="48">
        <f>Budget!M15*$AD$27</f>
        <v>0</v>
      </c>
      <c r="I9" s="49">
        <f>(Budget!D15/12)/$AD$27*1.03^3</f>
        <v>0</v>
      </c>
      <c r="J9" s="37">
        <f t="shared" si="0"/>
        <v>0</v>
      </c>
      <c r="K9" s="48">
        <f>Budget!P15*$AD$27</f>
        <v>0</v>
      </c>
      <c r="L9" s="49">
        <f>(Budget!D15/12)/$AD$27*1.03^4</f>
        <v>0</v>
      </c>
      <c r="M9" s="37">
        <f t="shared" si="1"/>
        <v>0</v>
      </c>
      <c r="N9" s="48">
        <f>Budget!S15*$AD$27</f>
        <v>0</v>
      </c>
      <c r="O9" s="49">
        <f>(Budget!D15/12)/$AD$27*1.03^5</f>
        <v>0</v>
      </c>
      <c r="P9" s="37">
        <f t="shared" si="2"/>
        <v>0</v>
      </c>
      <c r="Q9" s="284">
        <f>Budget!V15*$AD$27</f>
        <v>0</v>
      </c>
      <c r="R9" s="31">
        <f>(Budget!D15/12)/$AD$27*1.03^6</f>
        <v>0</v>
      </c>
      <c r="S9" s="38">
        <f t="shared" ref="S9:S14" si="11">Q9*R9</f>
        <v>0</v>
      </c>
      <c r="T9" s="284">
        <f>Budget!Y15*$AD$27</f>
        <v>0</v>
      </c>
      <c r="U9" s="31">
        <f>(Budget!D15/12)/$AD$27*1.03^7</f>
        <v>0</v>
      </c>
      <c r="V9" s="38">
        <f t="shared" ref="V9:V14" si="12">T9*U9</f>
        <v>0</v>
      </c>
      <c r="W9" s="284">
        <f>Budget!AB15*$AD$27</f>
        <v>0</v>
      </c>
      <c r="X9" s="31">
        <f>(Budget!D15/12)/$AD$27*1.03^8</f>
        <v>0</v>
      </c>
      <c r="Y9" s="38">
        <f t="shared" ref="Y9:Y14" si="13">W9*X9</f>
        <v>0</v>
      </c>
      <c r="Z9" s="296">
        <f t="shared" si="7"/>
        <v>0</v>
      </c>
      <c r="AA9" s="51">
        <f t="shared" si="8"/>
        <v>0</v>
      </c>
    </row>
    <row r="10" spans="1:27" hidden="1" outlineLevel="1">
      <c r="A10" s="47">
        <f>Budget!B16</f>
        <v>0</v>
      </c>
      <c r="B10" s="286">
        <f>Budget!G16*$AD$27</f>
        <v>0</v>
      </c>
      <c r="C10" s="49">
        <f>(Budget!D16/12)/$AD$27*1.03</f>
        <v>0</v>
      </c>
      <c r="D10" s="38">
        <f t="shared" si="4"/>
        <v>0</v>
      </c>
      <c r="E10" s="48">
        <f>Budget!J16*$AD$27</f>
        <v>0</v>
      </c>
      <c r="F10" s="49">
        <f>(Budget!D16/12)/$AD$27*1.03^2</f>
        <v>0</v>
      </c>
      <c r="G10" s="38">
        <f t="shared" si="5"/>
        <v>0</v>
      </c>
      <c r="H10" s="48">
        <f>Budget!M16*$AD$27</f>
        <v>0</v>
      </c>
      <c r="I10" s="49">
        <f>(Budget!D16/12)/$AD$27*1.03^3</f>
        <v>0</v>
      </c>
      <c r="J10" s="37">
        <f t="shared" si="0"/>
        <v>0</v>
      </c>
      <c r="K10" s="48">
        <f>Budget!P16*$AD$27</f>
        <v>0</v>
      </c>
      <c r="L10" s="49">
        <f>(Budget!D16/12)/$AD$27*1.03^4</f>
        <v>0</v>
      </c>
      <c r="M10" s="37">
        <f t="shared" si="1"/>
        <v>0</v>
      </c>
      <c r="N10" s="48">
        <f>Budget!S16*$AD$27</f>
        <v>0</v>
      </c>
      <c r="O10" s="49">
        <f>(Budget!D16/12)/$AD$27*1.03^5</f>
        <v>0</v>
      </c>
      <c r="P10" s="37">
        <f t="shared" si="2"/>
        <v>0</v>
      </c>
      <c r="Q10" s="284">
        <f>Budget!V16*$AD$27</f>
        <v>0</v>
      </c>
      <c r="R10" s="31">
        <f>(Budget!D16/12)/$AD$27*1.03^6</f>
        <v>0</v>
      </c>
      <c r="S10" s="38">
        <f t="shared" si="11"/>
        <v>0</v>
      </c>
      <c r="T10" s="284">
        <f>Budget!Y16*$AD$27</f>
        <v>0</v>
      </c>
      <c r="U10" s="31">
        <f>(Budget!D16/12)/$AD$27*1.03^7</f>
        <v>0</v>
      </c>
      <c r="V10" s="38">
        <f t="shared" si="12"/>
        <v>0</v>
      </c>
      <c r="W10" s="284">
        <f>Budget!AB16*$AD$27</f>
        <v>0</v>
      </c>
      <c r="X10" s="31">
        <f>(Budget!D16/12)/$AD$27*1.03^8</f>
        <v>0</v>
      </c>
      <c r="Y10" s="38">
        <f t="shared" si="13"/>
        <v>0</v>
      </c>
      <c r="Z10" s="296">
        <f t="shared" si="7"/>
        <v>0</v>
      </c>
      <c r="AA10" s="51">
        <f t="shared" si="8"/>
        <v>0</v>
      </c>
    </row>
    <row r="11" spans="1:27" hidden="1" outlineLevel="1">
      <c r="A11" s="47">
        <f>Budget!B17</f>
        <v>0</v>
      </c>
      <c r="B11" s="286">
        <f>Budget!G17*$AD$27</f>
        <v>0</v>
      </c>
      <c r="C11" s="49">
        <f>(Budget!D17/12)/$AD$27*1.03</f>
        <v>0</v>
      </c>
      <c r="D11" s="38">
        <f t="shared" si="4"/>
        <v>0</v>
      </c>
      <c r="E11" s="48">
        <f>Budget!J17*$AD$27</f>
        <v>0</v>
      </c>
      <c r="F11" s="49">
        <f>(Budget!D17/12)/$AD$27*1.03^2</f>
        <v>0</v>
      </c>
      <c r="G11" s="38">
        <f t="shared" si="5"/>
        <v>0</v>
      </c>
      <c r="H11" s="48">
        <f>Budget!M17*$AD$27</f>
        <v>0</v>
      </c>
      <c r="I11" s="49">
        <f>(Budget!D17/12)/$AD$27*1.03^3</f>
        <v>0</v>
      </c>
      <c r="J11" s="37">
        <f t="shared" si="0"/>
        <v>0</v>
      </c>
      <c r="K11" s="48">
        <f>Budget!P17*$AD$27</f>
        <v>0</v>
      </c>
      <c r="L11" s="49">
        <f>(Budget!D17/12)/$AD$27*1.03^4</f>
        <v>0</v>
      </c>
      <c r="M11" s="37">
        <f t="shared" si="1"/>
        <v>0</v>
      </c>
      <c r="N11" s="48">
        <f>Budget!S17*$AD$27</f>
        <v>0</v>
      </c>
      <c r="O11" s="49">
        <f>(Budget!D17/12)/$AD$27*1.03^5</f>
        <v>0</v>
      </c>
      <c r="P11" s="37">
        <f t="shared" si="2"/>
        <v>0</v>
      </c>
      <c r="Q11" s="284">
        <f>Budget!V17*$AD$27</f>
        <v>0</v>
      </c>
      <c r="R11" s="31">
        <f>(Budget!D17/12)/$AD$27*1.03^6</f>
        <v>0</v>
      </c>
      <c r="S11" s="38">
        <f t="shared" si="11"/>
        <v>0</v>
      </c>
      <c r="T11" s="284">
        <f>Budget!Y17*$AD$27</f>
        <v>0</v>
      </c>
      <c r="U11" s="31">
        <f>(Budget!D17/12)/$AD$27*1.03^7</f>
        <v>0</v>
      </c>
      <c r="V11" s="38">
        <f t="shared" si="12"/>
        <v>0</v>
      </c>
      <c r="W11" s="284">
        <f>Budget!AB17*$AD$27</f>
        <v>0</v>
      </c>
      <c r="X11" s="31">
        <f>(Budget!D17/12)/$AD$27*1.03^8</f>
        <v>0</v>
      </c>
      <c r="Y11" s="38">
        <f t="shared" si="13"/>
        <v>0</v>
      </c>
      <c r="Z11" s="296">
        <f t="shared" si="7"/>
        <v>0</v>
      </c>
      <c r="AA11" s="51">
        <f t="shared" si="8"/>
        <v>0</v>
      </c>
    </row>
    <row r="12" spans="1:27" hidden="1" outlineLevel="1">
      <c r="A12" s="47">
        <f>Budget!B18</f>
        <v>0</v>
      </c>
      <c r="B12" s="286">
        <f>Budget!G18*$AD$27</f>
        <v>0</v>
      </c>
      <c r="C12" s="49">
        <f>(Budget!D18/12)/$AD$27*1.03</f>
        <v>0</v>
      </c>
      <c r="D12" s="38">
        <f t="shared" si="4"/>
        <v>0</v>
      </c>
      <c r="E12" s="48">
        <f>Budget!J18*$AD$27</f>
        <v>0</v>
      </c>
      <c r="F12" s="49">
        <f>(Budget!D18/12)/$AD$27*1.03^2</f>
        <v>0</v>
      </c>
      <c r="G12" s="38">
        <f t="shared" si="5"/>
        <v>0</v>
      </c>
      <c r="H12" s="48">
        <f>Budget!M18*$AD$27</f>
        <v>0</v>
      </c>
      <c r="I12" s="49">
        <f>(Budget!D18/12)/$AD$27*1.03^3</f>
        <v>0</v>
      </c>
      <c r="J12" s="37">
        <f t="shared" si="0"/>
        <v>0</v>
      </c>
      <c r="K12" s="48">
        <f>Budget!P18*$AD$27</f>
        <v>0</v>
      </c>
      <c r="L12" s="49">
        <f>(Budget!D18/12)/$AD$27*1.03^4</f>
        <v>0</v>
      </c>
      <c r="M12" s="37">
        <f t="shared" si="1"/>
        <v>0</v>
      </c>
      <c r="N12" s="48">
        <f>Budget!S18*$AD$27</f>
        <v>0</v>
      </c>
      <c r="O12" s="49">
        <f>(Budget!D18/12)/$AD$27*1.03^5</f>
        <v>0</v>
      </c>
      <c r="P12" s="37">
        <f t="shared" si="2"/>
        <v>0</v>
      </c>
      <c r="Q12" s="284">
        <f>Budget!V18*$AD$27</f>
        <v>0</v>
      </c>
      <c r="R12" s="31">
        <f>(Budget!D18/12)/$AD$27*1.03^6</f>
        <v>0</v>
      </c>
      <c r="S12" s="38">
        <f t="shared" si="11"/>
        <v>0</v>
      </c>
      <c r="T12" s="284">
        <f>Budget!Y18*$AD$27</f>
        <v>0</v>
      </c>
      <c r="U12" s="31">
        <f>(Budget!D18/12)/$AD$27*1.03^7</f>
        <v>0</v>
      </c>
      <c r="V12" s="38">
        <f t="shared" si="12"/>
        <v>0</v>
      </c>
      <c r="W12" s="284">
        <f>Budget!AB18*$AD$27</f>
        <v>0</v>
      </c>
      <c r="X12" s="31">
        <f>(Budget!D18/12)/$AD$27*1.03^8</f>
        <v>0</v>
      </c>
      <c r="Y12" s="38">
        <f t="shared" si="13"/>
        <v>0</v>
      </c>
      <c r="Z12" s="296">
        <f t="shared" si="7"/>
        <v>0</v>
      </c>
      <c r="AA12" s="51">
        <f t="shared" si="8"/>
        <v>0</v>
      </c>
    </row>
    <row r="13" spans="1:27" hidden="1" outlineLevel="1">
      <c r="A13" s="47">
        <f>Budget!B19</f>
        <v>0</v>
      </c>
      <c r="B13" s="286">
        <f>Budget!G19*$AD$27</f>
        <v>0</v>
      </c>
      <c r="C13" s="49">
        <f>(Budget!D19/12)/$AD$27*1.03</f>
        <v>0</v>
      </c>
      <c r="D13" s="38">
        <f t="shared" si="4"/>
        <v>0</v>
      </c>
      <c r="E13" s="48">
        <f>Budget!J19*$AD$27</f>
        <v>0</v>
      </c>
      <c r="F13" s="49">
        <f>(Budget!D19/12)/$AD$27*1.03^2</f>
        <v>0</v>
      </c>
      <c r="G13" s="38">
        <f t="shared" si="5"/>
        <v>0</v>
      </c>
      <c r="H13" s="48">
        <f>Budget!M19*$AD$27</f>
        <v>0</v>
      </c>
      <c r="I13" s="49">
        <f>(Budget!D19/12)/$AD$27*1.03^3</f>
        <v>0</v>
      </c>
      <c r="J13" s="37">
        <f t="shared" si="0"/>
        <v>0</v>
      </c>
      <c r="K13" s="48">
        <f>Budget!P19*$AD$27</f>
        <v>0</v>
      </c>
      <c r="L13" s="49">
        <f>(Budget!D19/12)/$AD$27*1.03^4</f>
        <v>0</v>
      </c>
      <c r="M13" s="37">
        <f t="shared" si="1"/>
        <v>0</v>
      </c>
      <c r="N13" s="48">
        <f>Budget!S19*$AD$27</f>
        <v>0</v>
      </c>
      <c r="O13" s="49">
        <f>(Budget!D19/12)/$AD$27*1.03^5</f>
        <v>0</v>
      </c>
      <c r="P13" s="37">
        <f t="shared" si="2"/>
        <v>0</v>
      </c>
      <c r="Q13" s="284">
        <f>Budget!V19*$AD$27</f>
        <v>0</v>
      </c>
      <c r="R13" s="31">
        <f>(Budget!D19/12)/$AD$27*1.03^6</f>
        <v>0</v>
      </c>
      <c r="S13" s="38">
        <f t="shared" si="11"/>
        <v>0</v>
      </c>
      <c r="T13" s="284">
        <f>Budget!Y19*$AD$27</f>
        <v>0</v>
      </c>
      <c r="U13" s="31">
        <f>(Budget!D19/12)/$AD$27*1.03^7</f>
        <v>0</v>
      </c>
      <c r="V13" s="38">
        <f t="shared" si="12"/>
        <v>0</v>
      </c>
      <c r="W13" s="284">
        <f>Budget!AB19*$AD$27</f>
        <v>0</v>
      </c>
      <c r="X13" s="31">
        <f>(Budget!D19/12)/$AD$27*1.03^8</f>
        <v>0</v>
      </c>
      <c r="Y13" s="38">
        <f t="shared" si="13"/>
        <v>0</v>
      </c>
      <c r="Z13" s="296">
        <f t="shared" si="7"/>
        <v>0</v>
      </c>
      <c r="AA13" s="51">
        <f t="shared" si="8"/>
        <v>0</v>
      </c>
    </row>
    <row r="14" spans="1:27" hidden="1" outlineLevel="1">
      <c r="A14" s="47">
        <f>Budget!B20</f>
        <v>0</v>
      </c>
      <c r="B14" s="288">
        <f>Budget!G20*$AD$27</f>
        <v>0</v>
      </c>
      <c r="C14" s="289">
        <f>(Budget!D20/12)/$AD$27*1.03</f>
        <v>0</v>
      </c>
      <c r="D14" s="290">
        <f t="shared" si="4"/>
        <v>0</v>
      </c>
      <c r="E14" s="291">
        <f>Budget!J20*$AD$27</f>
        <v>0</v>
      </c>
      <c r="F14" s="289">
        <f>(Budget!D20/12)/$AD$27*1.03^2</f>
        <v>0</v>
      </c>
      <c r="G14" s="290">
        <f t="shared" si="5"/>
        <v>0</v>
      </c>
      <c r="H14" s="291">
        <f>Budget!M20*$AD$27</f>
        <v>0</v>
      </c>
      <c r="I14" s="289">
        <f>(Budget!D20/12)/$AD$27*1.03^3</f>
        <v>0</v>
      </c>
      <c r="J14" s="251">
        <f t="shared" si="0"/>
        <v>0</v>
      </c>
      <c r="K14" s="291">
        <f>Budget!P20*$AD$27</f>
        <v>0</v>
      </c>
      <c r="L14" s="289">
        <f>(Budget!D20/12)/$AD$27*1.03^4</f>
        <v>0</v>
      </c>
      <c r="M14" s="251">
        <f t="shared" si="1"/>
        <v>0</v>
      </c>
      <c r="N14" s="291">
        <f>Budget!S20*$AD$27</f>
        <v>0</v>
      </c>
      <c r="O14" s="289">
        <f>(Budget!D20/12)/$AD$27*1.03^5</f>
        <v>0</v>
      </c>
      <c r="P14" s="251">
        <f t="shared" si="2"/>
        <v>0</v>
      </c>
      <c r="Q14" s="292">
        <f>Budget!V20*$AD$27</f>
        <v>0</v>
      </c>
      <c r="R14" s="293">
        <f>(Budget!D20/12)/$AD$27*1.03^6</f>
        <v>0</v>
      </c>
      <c r="S14" s="290">
        <f t="shared" si="11"/>
        <v>0</v>
      </c>
      <c r="T14" s="292">
        <f>Budget!Y20*$AD$27</f>
        <v>0</v>
      </c>
      <c r="U14" s="293">
        <f>(Budget!D20/12)/$AD$27*1.03^7</f>
        <v>0</v>
      </c>
      <c r="V14" s="290">
        <f t="shared" si="12"/>
        <v>0</v>
      </c>
      <c r="W14" s="292">
        <f>Budget!AB20*$AD$27</f>
        <v>0</v>
      </c>
      <c r="X14" s="293">
        <f>(Budget!D20/12)/$AD$27*1.03^8</f>
        <v>0</v>
      </c>
      <c r="Y14" s="290">
        <f t="shared" si="13"/>
        <v>0</v>
      </c>
      <c r="Z14" s="297">
        <f t="shared" si="7"/>
        <v>0</v>
      </c>
      <c r="AA14" s="294">
        <f t="shared" si="8"/>
        <v>0</v>
      </c>
    </row>
    <row r="15" spans="1:27" collapsed="1">
      <c r="A15" s="247" t="s">
        <v>179</v>
      </c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87"/>
      <c r="AA15" s="253"/>
    </row>
    <row r="16" spans="1:27">
      <c r="A16" s="47">
        <f>Budget!B22</f>
        <v>0</v>
      </c>
      <c r="B16" s="286">
        <f>IF(A16=$A$33,Budget!G22*$AD$28,Budget!G22*$AD$27)</f>
        <v>0</v>
      </c>
      <c r="C16" s="49">
        <f>IF(A16=$A$33,Budget!D22/12/$AD$28,Budget!D22/12/$AD$27)</f>
        <v>0</v>
      </c>
      <c r="D16" s="50">
        <f t="shared" ref="D16:D25" si="14">B16*C16</f>
        <v>0</v>
      </c>
      <c r="E16" s="48">
        <f>IF(A16=$A$33,Budget!J22*$AD$28,Budget!J22*$AD$27)</f>
        <v>0</v>
      </c>
      <c r="F16" s="49">
        <f>IF(A16=$A$33,Budget!D22/12/$AD$28,Budget!D22/12/$AD$27)*1.03</f>
        <v>0</v>
      </c>
      <c r="G16" s="50">
        <f t="shared" ref="G16:G25" si="15">E16*F16</f>
        <v>0</v>
      </c>
      <c r="H16" s="48">
        <f>IF(A16=$A$33,Budget!M22*$AD$28,Budget!M22*$AD$27)</f>
        <v>0</v>
      </c>
      <c r="I16" s="49">
        <f>IF(A16=$A$33,Budget!D22/12/$AD$28,Budget!D22/12/$AD$27)*1.03^2</f>
        <v>0</v>
      </c>
      <c r="J16" s="51">
        <f t="shared" ref="J16:J25" si="16">H16*I16</f>
        <v>0</v>
      </c>
      <c r="K16" s="48">
        <f>IF(A16=$A$33,Budget!P22*$AD$28,Budget!P22*$AD$27)</f>
        <v>0</v>
      </c>
      <c r="L16" s="49">
        <f>IF(A16=$A$33,Budget!D22/12/$AD$28,Budget!D22/12/$AD$27)*1.03^4</f>
        <v>0</v>
      </c>
      <c r="M16" s="51">
        <f t="shared" ref="M16:M25" si="17">K16*L16</f>
        <v>0</v>
      </c>
      <c r="N16" s="48">
        <f>IF(A16=$A$33,Budget!S22*$AD$28,Budget!S22*$AD$27)</f>
        <v>0</v>
      </c>
      <c r="O16" s="49">
        <f>IF(A16=$A$33,Budget!D22/12/$AD$28,Budget!D22/12/$AD$27)*1.03^5</f>
        <v>0</v>
      </c>
      <c r="P16" s="51">
        <f t="shared" ref="P16:P25" si="18">N16*O16</f>
        <v>0</v>
      </c>
      <c r="Q16" s="295">
        <f>IF(A16=$A$33,Budget!V22*$AD$28,Budget!V22*$AD$27)</f>
        <v>0</v>
      </c>
      <c r="R16" s="49">
        <f>IF(A16=$A$33,Budget!D22/12/$AD$28,Budget!D22/12/$AD$27)*1.03^6</f>
        <v>0</v>
      </c>
      <c r="S16" s="50">
        <f t="shared" ref="S16:S25" si="19">Q16*R16</f>
        <v>0</v>
      </c>
      <c r="T16" s="295">
        <f>IF(A16=$A$33,Budget!Y22*$AD$28,Budget!Y22*$AD$27)</f>
        <v>0</v>
      </c>
      <c r="U16" s="49">
        <f>IF(A16=$A$33,Budget!D22/12/$AD$28,Budget!D22/12/$AD$27)*1.03^7</f>
        <v>0</v>
      </c>
      <c r="V16" s="50">
        <f t="shared" ref="V16:V25" si="20">T16*U16</f>
        <v>0</v>
      </c>
      <c r="W16" s="295">
        <f>IF(A16=$A$33,Budget!AB22*$AD$28,Budget!AB22*$AD$27)</f>
        <v>0</v>
      </c>
      <c r="X16" s="49">
        <f>IF(A16=$A$33,Budget!D22/12/$AD$28,Budget!D22/12/$AD$27)*1.03^8</f>
        <v>0</v>
      </c>
      <c r="Y16" s="50">
        <f t="shared" ref="Y16:Y25" si="21">W16*X16</f>
        <v>0</v>
      </c>
      <c r="Z16" s="296">
        <f t="shared" si="7"/>
        <v>0</v>
      </c>
      <c r="AA16" s="51">
        <f t="shared" si="8"/>
        <v>0</v>
      </c>
    </row>
    <row r="17" spans="1:30">
      <c r="A17" s="47">
        <f>Budget!B23</f>
        <v>0</v>
      </c>
      <c r="B17" s="286">
        <f>IF(A17=$A$33,Budget!G23*$AD$28,Budget!G23*$AD$27)</f>
        <v>0</v>
      </c>
      <c r="C17" s="49">
        <f>IF(A17=$A$33,Budget!D23/12/$AD$28,Budget!D23/12/$AD$27)*1.03</f>
        <v>0</v>
      </c>
      <c r="D17" s="38">
        <f t="shared" si="14"/>
        <v>0</v>
      </c>
      <c r="E17" s="48">
        <f>IF(A17=$A$33,Budget!J23*$AD$28,Budget!J23*$AD$27)</f>
        <v>0</v>
      </c>
      <c r="F17" s="49">
        <f>IF(A17=$A$33,Budget!D23/12/$AD$28,Budget!D23/12/$AD$27)*1.03^2</f>
        <v>0</v>
      </c>
      <c r="G17" s="38">
        <f t="shared" si="15"/>
        <v>0</v>
      </c>
      <c r="H17" s="48">
        <f>IF(A17=$A$33,Budget!M23*$AD$28,Budget!M23*$AD$27)</f>
        <v>0</v>
      </c>
      <c r="I17" s="49">
        <f>IF(A17=$A$33,Budget!D23/12/$AD$28,Budget!D23/12/$AD$27)*1.03^3</f>
        <v>0</v>
      </c>
      <c r="J17" s="37">
        <f t="shared" si="16"/>
        <v>0</v>
      </c>
      <c r="K17" s="48">
        <f>IF(A17=$A$33,Budget!P23*$AD$28,Budget!P23*$AD$27)</f>
        <v>0</v>
      </c>
      <c r="L17" s="49">
        <f>IF(A17=$A$33,Budget!D23/12/$AD$28,Budget!D23/12/$AD$27)*1.03^4</f>
        <v>0</v>
      </c>
      <c r="M17" s="37">
        <f t="shared" si="17"/>
        <v>0</v>
      </c>
      <c r="N17" s="48">
        <f>IF(A17=$A$33,Budget!S23*$AD$28,Budget!S23*$AD$27)</f>
        <v>0</v>
      </c>
      <c r="O17" s="49">
        <f>IF(A17=$A$33,Budget!D23/12/$AD$28,Budget!D23/12/$AD$27)*1.03^5</f>
        <v>0</v>
      </c>
      <c r="P17" s="37">
        <f>N17*O17</f>
        <v>0</v>
      </c>
      <c r="Q17" s="295">
        <f>IF(A17=$A$33,Budget!V23*$AD$28,Budget!V23*$AD$27)</f>
        <v>0</v>
      </c>
      <c r="R17" s="49">
        <f>IF(A17=$A$33,Budget!D23/12/$AD$28,Budget!D23/12/$AD$27)*1.03^6</f>
        <v>0</v>
      </c>
      <c r="S17" s="38">
        <f t="shared" si="19"/>
        <v>0</v>
      </c>
      <c r="T17" s="295">
        <f>IF(A17=$A$33,Budget!Y23*$AD$28,Budget!Y23*$AD$27)</f>
        <v>0</v>
      </c>
      <c r="U17" s="49">
        <f>IF(A17=$A$33,Budget!D23/12/$AD$28,Budget!D23/12/$AD$27)*1.03^7</f>
        <v>0</v>
      </c>
      <c r="V17" s="38">
        <f t="shared" si="20"/>
        <v>0</v>
      </c>
      <c r="W17" s="295">
        <f>IF(A17=$A$33,Budget!AB23*$AD$28,Budget!AB23*$AD$27)</f>
        <v>0</v>
      </c>
      <c r="X17" s="49">
        <f>IF(A17=$A$33,Budget!D23/12/$AD$28,Budget!D23/12/$AD$27)*1.03^8</f>
        <v>0</v>
      </c>
      <c r="Y17" s="38">
        <f t="shared" si="21"/>
        <v>0</v>
      </c>
      <c r="Z17" s="296">
        <f t="shared" si="7"/>
        <v>0</v>
      </c>
      <c r="AA17" s="51">
        <f t="shared" si="8"/>
        <v>0</v>
      </c>
    </row>
    <row r="18" spans="1:30">
      <c r="A18" s="47">
        <f>Budget!B24</f>
        <v>0</v>
      </c>
      <c r="B18" s="286">
        <f>IF(A18=$A$33,Budget!G24*$AD$28,Budget!G24*$AD$27)</f>
        <v>0</v>
      </c>
      <c r="C18" s="49">
        <f>IF(A18=$A$33,Budget!D24/12/$AD$28,Budget!D24/12/$AD$27)*1.03</f>
        <v>0</v>
      </c>
      <c r="D18" s="38">
        <f t="shared" si="14"/>
        <v>0</v>
      </c>
      <c r="E18" s="48">
        <f>IF(A18=$A$33,Budget!J24*$AD$28,Budget!J24*$AD$27)</f>
        <v>0</v>
      </c>
      <c r="F18" s="49">
        <f>IF(A18=$A$33,Budget!D24/12/$AD$28,Budget!D24/12/$AD$27)*1.03^2</f>
        <v>0</v>
      </c>
      <c r="G18" s="38">
        <f t="shared" si="15"/>
        <v>0</v>
      </c>
      <c r="H18" s="48">
        <f>IF(A18=$A$33,Budget!M24*$AD$28,Budget!M24*$AD$27)</f>
        <v>0</v>
      </c>
      <c r="I18" s="49">
        <f>IF(A18=$A$33,Budget!D24/12/$AD$28,Budget!D24/12/$AD$27)*1.03^3</f>
        <v>0</v>
      </c>
      <c r="J18" s="37">
        <f t="shared" si="16"/>
        <v>0</v>
      </c>
      <c r="K18" s="48">
        <f>IF(A18=$A$33,Budget!P24*$AD$28,Budget!P24*$AD$27)</f>
        <v>0</v>
      </c>
      <c r="L18" s="49">
        <f>IF(A18=$A$33,Budget!D24/12/$AD$28,Budget!D24/12/$AD$27)*1.03^4</f>
        <v>0</v>
      </c>
      <c r="M18" s="37">
        <f t="shared" si="17"/>
        <v>0</v>
      </c>
      <c r="N18" s="48">
        <f>IF(A18=$A$33,Budget!S24*$AD$28,Budget!S24*$AD$27)</f>
        <v>0</v>
      </c>
      <c r="O18" s="49">
        <f>IF(A18=$A$33,Budget!D24/12/$AD$28,Budget!D24/12/$AD$27)*1.03^5</f>
        <v>0</v>
      </c>
      <c r="P18" s="37">
        <f>N18*O18</f>
        <v>0</v>
      </c>
      <c r="Q18" s="295">
        <f>IF(A18=$A$33,Budget!V24*$AD$28,Budget!V24*$AD$27)</f>
        <v>0</v>
      </c>
      <c r="R18" s="49">
        <f>IF(A18=$A$33,Budget!D24/12/$AD$28,Budget!D24/12/$AD$27)*1.03^6</f>
        <v>0</v>
      </c>
      <c r="S18" s="38">
        <f t="shared" si="19"/>
        <v>0</v>
      </c>
      <c r="T18" s="295">
        <f>IF(A18=$A$33,Budget!Y24*$AD$28,Budget!Y24*$AD$27)</f>
        <v>0</v>
      </c>
      <c r="U18" s="49">
        <f>IF(A18=$A$33,Budget!D24/12/$AD$28,Budget!D24/12/$AD$27)*1.03^7</f>
        <v>0</v>
      </c>
      <c r="V18" s="38">
        <f t="shared" si="20"/>
        <v>0</v>
      </c>
      <c r="W18" s="295">
        <f>IF(A18=$A$33,Budget!AB24*$AD$28,Budget!AB24*$AD$27)</f>
        <v>0</v>
      </c>
      <c r="X18" s="49">
        <f>IF(A18=$A$33,Budget!D24/12/$AD$28,Budget!D24/12/$AD$27)*1.03^8</f>
        <v>0</v>
      </c>
      <c r="Y18" s="38">
        <f t="shared" si="21"/>
        <v>0</v>
      </c>
      <c r="Z18" s="296">
        <f t="shared" si="7"/>
        <v>0</v>
      </c>
      <c r="AA18" s="51">
        <f t="shared" si="8"/>
        <v>0</v>
      </c>
    </row>
    <row r="19" spans="1:30">
      <c r="A19" s="47">
        <f>Budget!B25</f>
        <v>0</v>
      </c>
      <c r="B19" s="286">
        <f>IF(A19=$A$33,Budget!G25*$AD$28,Budget!G25*$AD$27)</f>
        <v>0</v>
      </c>
      <c r="C19" s="49">
        <f>IF(A19=$A$33,Budget!D25/12/$AD$28,Budget!D25/12/$AD$27)*1.03</f>
        <v>0</v>
      </c>
      <c r="D19" s="38">
        <f t="shared" si="14"/>
        <v>0</v>
      </c>
      <c r="E19" s="48">
        <f>IF(A19=$A$33,Budget!J25*$AD$28,Budget!J25*$AD$27)</f>
        <v>0</v>
      </c>
      <c r="F19" s="49">
        <f>IF(A19=$A$33,Budget!D25/12/$AD$28,Budget!D25/12/$AD$27)*1.03^2</f>
        <v>0</v>
      </c>
      <c r="G19" s="38">
        <f t="shared" si="15"/>
        <v>0</v>
      </c>
      <c r="H19" s="48">
        <f>IF(A19=$A$33,Budget!M25*$AD$28,Budget!M25*$AD$27)</f>
        <v>0</v>
      </c>
      <c r="I19" s="49">
        <f>IF(A19=$A$33,Budget!D25/12/$AD$28,Budget!D25/12/$AD$27)*1.03^3</f>
        <v>0</v>
      </c>
      <c r="J19" s="37">
        <f t="shared" si="16"/>
        <v>0</v>
      </c>
      <c r="K19" s="48">
        <f>IF(A19=$A$33,Budget!P25*$AD$28,Budget!P25*$AD$27)</f>
        <v>0</v>
      </c>
      <c r="L19" s="49">
        <f>IF(A19=$A$33,Budget!D25/12/$AD$28,Budget!D25/12/$AD$27)*1.03^4</f>
        <v>0</v>
      </c>
      <c r="M19" s="37">
        <f t="shared" si="17"/>
        <v>0</v>
      </c>
      <c r="N19" s="48">
        <f>IF(A19=$A$33,Budget!S25*$AD$28,Budget!S25*$AD$27)</f>
        <v>0</v>
      </c>
      <c r="O19" s="49">
        <f>IF(A19=$A$33,Budget!D25/12/$AD$28,Budget!D25/12/$AD$27)*1.03^5</f>
        <v>0</v>
      </c>
      <c r="P19" s="37">
        <f>N19*O19</f>
        <v>0</v>
      </c>
      <c r="Q19" s="295">
        <f>IF(A19=$A$33,Budget!V25*$AD$28,Budget!V25*$AD$27)</f>
        <v>0</v>
      </c>
      <c r="R19" s="49">
        <f>IF(A19=$A$33,Budget!D25/12/$AD$28,Budget!D25/12/$AD$27)*1.03^6</f>
        <v>0</v>
      </c>
      <c r="S19" s="38">
        <f t="shared" si="19"/>
        <v>0</v>
      </c>
      <c r="T19" s="295">
        <f>IF(A19=$A$33,Budget!Y25*$AD$28,Budget!Y25*$AD$27)</f>
        <v>0</v>
      </c>
      <c r="U19" s="49">
        <f>IF(A19=$A$33,Budget!D25/12/$AD$28,Budget!D25/12/$AD$27)*1.03^7</f>
        <v>0</v>
      </c>
      <c r="V19" s="38">
        <f t="shared" si="20"/>
        <v>0</v>
      </c>
      <c r="W19" s="295">
        <f>IF(A19=$A$33,Budget!AB25*$AD$28,Budget!AB25*$AD$27)</f>
        <v>0</v>
      </c>
      <c r="X19" s="49">
        <f>IF(A19=$A$33,Budget!D25/12/$AD$28,Budget!D25/12/$AD$27)*1.03^8</f>
        <v>0</v>
      </c>
      <c r="Y19" s="38">
        <f t="shared" si="21"/>
        <v>0</v>
      </c>
      <c r="Z19" s="296">
        <f t="shared" si="7"/>
        <v>0</v>
      </c>
      <c r="AA19" s="51">
        <f t="shared" si="8"/>
        <v>0</v>
      </c>
    </row>
    <row r="20" spans="1:30">
      <c r="A20" s="47">
        <f>Budget!B26</f>
        <v>0</v>
      </c>
      <c r="B20" s="286">
        <f>IF(A20=$A$33,Budget!G26*$AD$28,Budget!G26*$AD$27)</f>
        <v>0</v>
      </c>
      <c r="C20" s="49">
        <f>IF(A20=$A$33,Budget!D26/12/$AD$28,Budget!D26/12/$AD$27)*1.03</f>
        <v>0</v>
      </c>
      <c r="D20" s="38">
        <f t="shared" si="14"/>
        <v>0</v>
      </c>
      <c r="E20" s="48">
        <f>IF(A20=$A$33,Budget!J26*$AD$28,Budget!J26*$AD$27)</f>
        <v>0</v>
      </c>
      <c r="F20" s="49">
        <f>IF(A20=$A$33,Budget!D26/12/$AD$28,Budget!D26/12/$AD$27)*1.03^2</f>
        <v>0</v>
      </c>
      <c r="G20" s="38">
        <f t="shared" si="15"/>
        <v>0</v>
      </c>
      <c r="H20" s="48">
        <f>IF(A20=$A$33,Budget!M26*$AD$28,Budget!M26*$AD$27)</f>
        <v>0</v>
      </c>
      <c r="I20" s="49">
        <f>IF(A20=$A$33,Budget!D26/12/$AD$28,Budget!D26/12/$AD$27)*1.03^3</f>
        <v>0</v>
      </c>
      <c r="J20" s="37">
        <f t="shared" si="16"/>
        <v>0</v>
      </c>
      <c r="K20" s="48">
        <f>IF(A20=$A$33,Budget!P26*$AD$28,Budget!P26*$AD$27)</f>
        <v>0</v>
      </c>
      <c r="L20" s="49">
        <f>IF(A20=$A$33,Budget!D26/12/$AD$28,Budget!D26/12/$AD$27)*1.03^4</f>
        <v>0</v>
      </c>
      <c r="M20" s="37">
        <f t="shared" si="17"/>
        <v>0</v>
      </c>
      <c r="N20" s="48">
        <f>IF(A20=$A$33,Budget!S26*$AD$28,Budget!S26*$AD$27)</f>
        <v>0</v>
      </c>
      <c r="O20" s="49">
        <f>IF(A20=$A$33,Budget!D26/12/$AD$28,Budget!D26/12/$AD$27)*1.03^5</f>
        <v>0</v>
      </c>
      <c r="P20" s="37">
        <f>N20*O20</f>
        <v>0</v>
      </c>
      <c r="Q20" s="295">
        <f>IF(A20=$A$33,Budget!V26*$AD$28,Budget!V26*$AD$27)</f>
        <v>0</v>
      </c>
      <c r="R20" s="49">
        <f>IF(A20=$A$33,Budget!D26/12/$AD$28,Budget!D26/12/$AD$27)*1.03^6</f>
        <v>0</v>
      </c>
      <c r="S20" s="38">
        <f t="shared" si="19"/>
        <v>0</v>
      </c>
      <c r="T20" s="295">
        <f>IF(A20=$A$33,Budget!Y26*$AD$28,Budget!Y26*$AD$27)</f>
        <v>0</v>
      </c>
      <c r="U20" s="49">
        <f>IF(A20=$A$33,Budget!D26/12/$AD$28,Budget!D26/12/$AD$27)*1.03^7</f>
        <v>0</v>
      </c>
      <c r="V20" s="38">
        <f t="shared" si="20"/>
        <v>0</v>
      </c>
      <c r="W20" s="295">
        <f>IF(A20=$A$33,Budget!AB26*$AD$28,Budget!AB26*$AD$27)</f>
        <v>0</v>
      </c>
      <c r="X20" s="49">
        <f>IF(A20=$A$33,Budget!D26/12/$AD$28,Budget!D26/12/$AD$27)*1.03^8</f>
        <v>0</v>
      </c>
      <c r="Y20" s="38">
        <f t="shared" si="21"/>
        <v>0</v>
      </c>
      <c r="Z20" s="296">
        <f t="shared" si="7"/>
        <v>0</v>
      </c>
      <c r="AA20" s="51">
        <f t="shared" si="8"/>
        <v>0</v>
      </c>
    </row>
    <row r="21" spans="1:30" hidden="1" outlineLevel="1">
      <c r="A21" s="47">
        <f>Budget!B27</f>
        <v>0</v>
      </c>
      <c r="B21" s="286">
        <f>IF(A21=$A$33,Budget!G27*$AD$28,Budget!G27*$AD$27)</f>
        <v>0</v>
      </c>
      <c r="C21" s="49">
        <f>IF(A21=$A$33,Budget!D27/12/$AD$28,Budget!D27/12/$AD$27)*1.03</f>
        <v>0</v>
      </c>
      <c r="D21" s="38">
        <f t="shared" si="14"/>
        <v>0</v>
      </c>
      <c r="E21" s="48">
        <f>IF(A21=$A$33,Budget!J27*$AD$28,Budget!J27*$AD$27)</f>
        <v>0</v>
      </c>
      <c r="F21" s="49">
        <f>IF(A21=$A$33,Budget!D27/12/$AD$28,Budget!D27/12/$AD$27)*1.03^2</f>
        <v>0</v>
      </c>
      <c r="G21" s="38">
        <f t="shared" si="15"/>
        <v>0</v>
      </c>
      <c r="H21" s="48">
        <f>IF(A21=$A$33,Budget!M27*$AD$28,Budget!M27*$AD$27)</f>
        <v>0</v>
      </c>
      <c r="I21" s="49">
        <f>IF(A21=$A$33,Budget!D27/12/$AD$28,Budget!D27/12/$AD$27)*1.03^3</f>
        <v>0</v>
      </c>
      <c r="J21" s="37">
        <f t="shared" si="16"/>
        <v>0</v>
      </c>
      <c r="K21" s="48">
        <f>IF(A21=$A$33,Budget!P27*$AD$28,Budget!P27*$AD$27)</f>
        <v>0</v>
      </c>
      <c r="L21" s="49">
        <f>IF(A21=$A$33,Budget!D27/12/$AD$28,Budget!D27/12/$AD$27)*1.03^4</f>
        <v>0</v>
      </c>
      <c r="M21" s="37">
        <f t="shared" si="17"/>
        <v>0</v>
      </c>
      <c r="N21" s="48">
        <f>IF(A21=$A$33,Budget!S27*$AD$28,Budget!S27*$AD$27)</f>
        <v>0</v>
      </c>
      <c r="O21" s="49">
        <f>IF(A21=$A$33,Budget!D27/12/$AD$28,Budget!D27/12/$AD$27)*1.03^5</f>
        <v>0</v>
      </c>
      <c r="P21" s="37">
        <f>N21*O21</f>
        <v>0</v>
      </c>
      <c r="Q21" s="295">
        <f>IF(A21=$A$33,Budget!V27*$AD$28,Budget!V27*$AD$27)</f>
        <v>0</v>
      </c>
      <c r="R21" s="49">
        <f>IF(A21=$A$33,Budget!D27/12/$AD$28,Budget!D27/12/$AD$27)*1.03^6</f>
        <v>0</v>
      </c>
      <c r="S21" s="38">
        <f t="shared" si="19"/>
        <v>0</v>
      </c>
      <c r="T21" s="295">
        <f>IF(A21=$A$33,Budget!Y27*$AD$28,Budget!Y27*$AD$27)</f>
        <v>0</v>
      </c>
      <c r="U21" s="49">
        <f>IF(A21=$A$33,Budget!D27/12/$AD$28,Budget!D27/12/$AD$27)*1.03^7</f>
        <v>0</v>
      </c>
      <c r="V21" s="38">
        <f t="shared" si="20"/>
        <v>0</v>
      </c>
      <c r="W21" s="295">
        <f>IF(A21=$A$33,Budget!AB27*$AD$28,Budget!AB27*$AD$27)</f>
        <v>0</v>
      </c>
      <c r="X21" s="49">
        <f>IF(A21=$A$33,Budget!D27/12/$AD$28,Budget!D27/12/$AD$27)*1.03^8</f>
        <v>0</v>
      </c>
      <c r="Y21" s="38">
        <f t="shared" si="21"/>
        <v>0</v>
      </c>
      <c r="Z21" s="296">
        <f t="shared" si="7"/>
        <v>0</v>
      </c>
      <c r="AA21" s="51">
        <f t="shared" si="8"/>
        <v>0</v>
      </c>
    </row>
    <row r="22" spans="1:30" hidden="1" outlineLevel="1">
      <c r="A22" s="47">
        <f>Budget!B28</f>
        <v>0</v>
      </c>
      <c r="B22" s="286">
        <f>IF(A22=$A$33,Budget!G28*$AD$28,Budget!G28*$AD$27)</f>
        <v>0</v>
      </c>
      <c r="C22" s="49">
        <f>IF(A22=$A$33,Budget!D28/12/$AD$28,Budget!D28/12/$AD$27)*1.03</f>
        <v>0</v>
      </c>
      <c r="D22" s="38">
        <f t="shared" si="14"/>
        <v>0</v>
      </c>
      <c r="E22" s="48">
        <f>IF(A22=$A$33,Budget!J28*$AD$28,Budget!J28*$AD$27)</f>
        <v>0</v>
      </c>
      <c r="F22" s="49">
        <f>IF(A22=$A$33,Budget!D28/12/$AD$28,Budget!D28/12/$AD$27)*1.03^2</f>
        <v>0</v>
      </c>
      <c r="G22" s="38">
        <f t="shared" si="15"/>
        <v>0</v>
      </c>
      <c r="H22" s="48">
        <f>IF(A22=$A$33,Budget!M28*$AD$28,Budget!M28*$AD$27)</f>
        <v>0</v>
      </c>
      <c r="I22" s="49">
        <f>IF(A22=$A$33,Budget!D28/12/$AD$28,Budget!D28/12/$AD$27)*1.03^3</f>
        <v>0</v>
      </c>
      <c r="J22" s="37">
        <f t="shared" si="16"/>
        <v>0</v>
      </c>
      <c r="K22" s="48">
        <f>IF(A22=$A$33,Budget!P28*$AD$28,Budget!P28*$AD$27)</f>
        <v>0</v>
      </c>
      <c r="L22" s="49">
        <f>IF(A22=$A$33,Budget!D28/12/$AD$28,Budget!D28/12/$AD$27)*1.03^4</f>
        <v>0</v>
      </c>
      <c r="M22" s="37">
        <f t="shared" si="17"/>
        <v>0</v>
      </c>
      <c r="N22" s="48">
        <f>IF(A22=$A$33,Budget!S28*$AD$28,Budget!S28*$AD$27)</f>
        <v>0</v>
      </c>
      <c r="O22" s="49">
        <f>IF(A22=$A$33,Budget!D28/12/$AD$28,Budget!D28/12/$AD$27)*1.03^5</f>
        <v>0</v>
      </c>
      <c r="P22" s="37">
        <f t="shared" si="18"/>
        <v>0</v>
      </c>
      <c r="Q22" s="295">
        <f>IF(A22=$A$33,Budget!V28*$AD$28,Budget!V28*$AD$27)</f>
        <v>0</v>
      </c>
      <c r="R22" s="49">
        <f>IF(A22=$A$33,Budget!D28/12/$AD$28,Budget!D28/12/$AD$27)*1.03^6</f>
        <v>0</v>
      </c>
      <c r="S22" s="38">
        <f t="shared" si="19"/>
        <v>0</v>
      </c>
      <c r="T22" s="295">
        <f>IF(A22=$A$33,Budget!Y28*$AD$28,Budget!Y28*$AD$27)</f>
        <v>0</v>
      </c>
      <c r="U22" s="49">
        <f>IF(A22=$A$33,Budget!D28/12/$AD$28,Budget!D28/12/$AD$27)*1.03^7</f>
        <v>0</v>
      </c>
      <c r="V22" s="38">
        <f t="shared" si="20"/>
        <v>0</v>
      </c>
      <c r="W22" s="295">
        <f>IF(A22=$A$33,Budget!AB28*$AD$28,Budget!AB28*$AD$27)</f>
        <v>0</v>
      </c>
      <c r="X22" s="49">
        <f>IF(A22=$A$33,Budget!D28/12/$AD$28,Budget!D28/12/$AD$27)*1.03^8</f>
        <v>0</v>
      </c>
      <c r="Y22" s="38">
        <f t="shared" si="21"/>
        <v>0</v>
      </c>
      <c r="Z22" s="296">
        <f t="shared" si="7"/>
        <v>0</v>
      </c>
      <c r="AA22" s="51">
        <f t="shared" si="8"/>
        <v>0</v>
      </c>
    </row>
    <row r="23" spans="1:30" hidden="1" outlineLevel="1">
      <c r="A23" s="47">
        <f>Budget!B29</f>
        <v>0</v>
      </c>
      <c r="B23" s="286">
        <f>IF(A23=$A$33,Budget!G29*$AD$28,Budget!G29*$AD$27)</f>
        <v>0</v>
      </c>
      <c r="C23" s="49">
        <f>IF(A23=$A$33,Budget!D29/12/$AD$28,Budget!D29/12/$AD$27)*1.03</f>
        <v>0</v>
      </c>
      <c r="D23" s="38">
        <f t="shared" si="14"/>
        <v>0</v>
      </c>
      <c r="E23" s="48">
        <f>IF(A23=$A$33,Budget!J29*$AD$28,Budget!J29*$AD$27)</f>
        <v>0</v>
      </c>
      <c r="F23" s="49">
        <f>IF(A23=$A$33,Budget!D29/12/$AD$28,Budget!D29/12/$AD$27)*1.03^2</f>
        <v>0</v>
      </c>
      <c r="G23" s="38">
        <f t="shared" si="15"/>
        <v>0</v>
      </c>
      <c r="H23" s="48">
        <f>IF(A23=$A$33,Budget!M29*$AD$28,Budget!M29*$AD$27)</f>
        <v>0</v>
      </c>
      <c r="I23" s="49">
        <f>IF(A23=$A$33,Budget!D29/12/$AD$28,Budget!D29/12/$AD$27)*1.03^3</f>
        <v>0</v>
      </c>
      <c r="J23" s="37">
        <f t="shared" si="16"/>
        <v>0</v>
      </c>
      <c r="K23" s="48">
        <f>IF(A23=$A$33,Budget!P29*$AD$28,Budget!P29*$AD$27)</f>
        <v>0</v>
      </c>
      <c r="L23" s="49">
        <f>IF(A23=$A$33,Budget!D29/12/$AD$28,Budget!D29/12/$AD$27)*1.03^4</f>
        <v>0</v>
      </c>
      <c r="M23" s="37">
        <f t="shared" si="17"/>
        <v>0</v>
      </c>
      <c r="N23" s="48">
        <f>IF(A23=$A$33,Budget!S29*$AD$28,Budget!S29*$AD$27)</f>
        <v>0</v>
      </c>
      <c r="O23" s="49">
        <f>IF(A23=$A$33,Budget!D29/12/$AD$28,Budget!D29/12/$AD$27)*1.03^5</f>
        <v>0</v>
      </c>
      <c r="P23" s="37">
        <f t="shared" si="18"/>
        <v>0</v>
      </c>
      <c r="Q23" s="295">
        <f>IF(A23=$A$33,Budget!V29*$AD$28,Budget!V29*$AD$27)</f>
        <v>0</v>
      </c>
      <c r="R23" s="49">
        <f>IF(A23=$A$33,Budget!D29/12/$AD$28,Budget!D29/12/$AD$27)*1.03^6</f>
        <v>0</v>
      </c>
      <c r="S23" s="38">
        <f t="shared" si="19"/>
        <v>0</v>
      </c>
      <c r="T23" s="295">
        <f>IF(A23=$A$33,Budget!Y29*$AD$28,Budget!Y29*$AD$27)</f>
        <v>0</v>
      </c>
      <c r="U23" s="49">
        <f>IF(A23=$A$33,Budget!D29/12/$AD$28,Budget!D29/12/$AD$27)*1.03^7</f>
        <v>0</v>
      </c>
      <c r="V23" s="38">
        <f t="shared" si="20"/>
        <v>0</v>
      </c>
      <c r="W23" s="295">
        <f>IF(A23=$A$33,Budget!AB29*$AD$28,Budget!AB29*$AD$27)</f>
        <v>0</v>
      </c>
      <c r="X23" s="49">
        <f>IF(A23=$A$33,Budget!D29/12/$AD$28,Budget!D29/12/$AD$27)*1.03^8</f>
        <v>0</v>
      </c>
      <c r="Y23" s="38">
        <f t="shared" si="21"/>
        <v>0</v>
      </c>
      <c r="Z23" s="296">
        <f t="shared" si="7"/>
        <v>0</v>
      </c>
      <c r="AA23" s="51">
        <f t="shared" si="8"/>
        <v>0</v>
      </c>
    </row>
    <row r="24" spans="1:30" hidden="1" outlineLevel="1">
      <c r="A24" s="47">
        <f>Budget!B30</f>
        <v>0</v>
      </c>
      <c r="B24" s="286">
        <f>IF(A24=$A$33,Budget!G30*$AD$28,Budget!G30*$AD$27)</f>
        <v>0</v>
      </c>
      <c r="C24" s="49">
        <f>IF(A24=$A$33,Budget!D30/12/$AD$28,Budget!D30/12/$AD$27)*1.03</f>
        <v>0</v>
      </c>
      <c r="D24" s="38">
        <f t="shared" si="14"/>
        <v>0</v>
      </c>
      <c r="E24" s="48">
        <f>IF(A24=$A$33,Budget!J30*$AD$28,Budget!J30*$AD$27)</f>
        <v>0</v>
      </c>
      <c r="F24" s="49">
        <f>IF(A24=$A$33,Budget!D30/12/$AD$28,Budget!D30/12/$AD$27)*1.03^2</f>
        <v>0</v>
      </c>
      <c r="G24" s="38">
        <f t="shared" si="15"/>
        <v>0</v>
      </c>
      <c r="H24" s="48">
        <f>IF(A24=$A$33,Budget!M30*$AD$28,Budget!M30*$AD$27)</f>
        <v>0</v>
      </c>
      <c r="I24" s="49">
        <f>IF(A24=$A$33,Budget!D30/12/$AD$28,Budget!D30/12/$AD$27)*1.03^3</f>
        <v>0</v>
      </c>
      <c r="J24" s="37">
        <f t="shared" si="16"/>
        <v>0</v>
      </c>
      <c r="K24" s="48">
        <f>IF(A24=$A$33,Budget!P30*$AD$28,Budget!P30*$AD$27)</f>
        <v>0</v>
      </c>
      <c r="L24" s="49">
        <f>IF(A24=$A$33,Budget!D30/12/$AD$28,Budget!D30/12/$AD$27)*1.03^4</f>
        <v>0</v>
      </c>
      <c r="M24" s="37">
        <f t="shared" si="17"/>
        <v>0</v>
      </c>
      <c r="N24" s="48">
        <f>IF(A24=$A$33,Budget!S30*$AD$28,Budget!S30*$AD$27)</f>
        <v>0</v>
      </c>
      <c r="O24" s="49">
        <f>IF(A24=$A$33,Budget!D30/12/$AD$28,Budget!D30/12/$AD$27)*1.03^5</f>
        <v>0</v>
      </c>
      <c r="P24" s="37">
        <f t="shared" si="18"/>
        <v>0</v>
      </c>
      <c r="Q24" s="295">
        <f>IF(A24=$A$33,Budget!V30*$AD$28,Budget!V30*$AD$27)</f>
        <v>0</v>
      </c>
      <c r="R24" s="49">
        <f>IF(A24=$A$33,Budget!D30/12/$AD$28,Budget!D30/12/$AD$27)*1.03^6</f>
        <v>0</v>
      </c>
      <c r="S24" s="38">
        <f t="shared" si="19"/>
        <v>0</v>
      </c>
      <c r="T24" s="295">
        <f>IF(A24=$A$33,Budget!Y30*$AD$28,Budget!Y30*$AD$27)</f>
        <v>0</v>
      </c>
      <c r="U24" s="49">
        <f>IF(A24=$A$33,Budget!D30/12/$AD$28,Budget!D30/12/$AD$27)*1.03^7</f>
        <v>0</v>
      </c>
      <c r="V24" s="38">
        <f t="shared" si="20"/>
        <v>0</v>
      </c>
      <c r="W24" s="295">
        <f>IF(A24=$A$33,Budget!AB30*$AD$28,Budget!AB30*$AD$27)</f>
        <v>0</v>
      </c>
      <c r="X24" s="49">
        <f>IF(A24=$A$33,Budget!D30/12/$AD$28,Budget!D30/12/$AD$27)*1.03^8</f>
        <v>0</v>
      </c>
      <c r="Y24" s="38">
        <f t="shared" si="21"/>
        <v>0</v>
      </c>
      <c r="Z24" s="296">
        <f t="shared" si="7"/>
        <v>0</v>
      </c>
      <c r="AA24" s="51">
        <f t="shared" si="8"/>
        <v>0</v>
      </c>
    </row>
    <row r="25" spans="1:30" hidden="1" outlineLevel="1">
      <c r="A25" s="47">
        <f>Budget!B31</f>
        <v>0</v>
      </c>
      <c r="B25" s="286">
        <f>IF(A25=$A$33,Budget!G31*$AD$28,Budget!G31*$AD$27)</f>
        <v>0</v>
      </c>
      <c r="C25" s="49">
        <f>IF(A25=$A$33,Budget!D31/12/$AD$28,Budget!D31/12/$AD$27)*1.03</f>
        <v>0</v>
      </c>
      <c r="D25" s="38">
        <f t="shared" si="14"/>
        <v>0</v>
      </c>
      <c r="E25" s="48">
        <f>IF(A25=$A$33,Budget!J31*$AD$28,Budget!J31*$AD$27)</f>
        <v>0</v>
      </c>
      <c r="F25" s="49">
        <f>IF(A25=$A$33,Budget!D31/12/$AD$28,Budget!D31/12/$AD$27)*1.03^2</f>
        <v>0</v>
      </c>
      <c r="G25" s="38">
        <f t="shared" si="15"/>
        <v>0</v>
      </c>
      <c r="H25" s="48">
        <f>IF(A25=$A$33,Budget!M31*$AD$28,Budget!M31*$AD$27)</f>
        <v>0</v>
      </c>
      <c r="I25" s="49">
        <f>IF(A25=$A$33,Budget!D31/12/$AD$28,Budget!D31/12/$AD$27)*1.03^3</f>
        <v>0</v>
      </c>
      <c r="J25" s="37">
        <f t="shared" si="16"/>
        <v>0</v>
      </c>
      <c r="K25" s="48">
        <f>IF(A25=$A$33,Budget!P31*$AD$28,Budget!P31*$AD$27)</f>
        <v>0</v>
      </c>
      <c r="L25" s="49">
        <f>IF(A25=$A$33,Budget!D31/12/$AD$28,Budget!D31/12/$AD$27)*1.03^4</f>
        <v>0</v>
      </c>
      <c r="M25" s="37">
        <f t="shared" si="17"/>
        <v>0</v>
      </c>
      <c r="N25" s="48">
        <f>IF(A25=$A$33,Budget!S31*$AD$28,Budget!S31*$AD$27)</f>
        <v>0</v>
      </c>
      <c r="O25" s="49">
        <f>IF(A25=$A$33,Budget!D31/12/$AD$28,Budget!D31/12/$AD$27)*1.03^5</f>
        <v>0</v>
      </c>
      <c r="P25" s="37">
        <f t="shared" si="18"/>
        <v>0</v>
      </c>
      <c r="Q25" s="295">
        <f>IF(A25=$A$33,Budget!V31*$AD$28,Budget!V31*$AD$27)</f>
        <v>0</v>
      </c>
      <c r="R25" s="49">
        <f>IF(A25=$A$33,Budget!D31/12/$AD$28,Budget!D31/12/$AD$27)*1.03^6</f>
        <v>0</v>
      </c>
      <c r="S25" s="38">
        <f t="shared" si="19"/>
        <v>0</v>
      </c>
      <c r="T25" s="295">
        <f>IF(A25=$A$33,Budget!Y31*$AD$28,Budget!Y31*$AD$27)</f>
        <v>0</v>
      </c>
      <c r="U25" s="49">
        <f>IF(A25=$A$33,Budget!D31/12/$AD$28,Budget!D31/12/$AD$27)*1.03^7</f>
        <v>0</v>
      </c>
      <c r="V25" s="38">
        <f t="shared" si="20"/>
        <v>0</v>
      </c>
      <c r="W25" s="295">
        <f>IF(A25=$A$33,Budget!AB31*$AD$28,Budget!AB31*$AD$27)</f>
        <v>0</v>
      </c>
      <c r="X25" s="49">
        <f>IF(A25=$A$33,Budget!D31/12/$AD$28,Budget!D31/12/$AD$27)*1.03^8</f>
        <v>0</v>
      </c>
      <c r="Y25" s="38">
        <f t="shared" si="21"/>
        <v>0</v>
      </c>
      <c r="Z25" s="296">
        <f t="shared" si="7"/>
        <v>0</v>
      </c>
      <c r="AA25" s="51">
        <f t="shared" si="8"/>
        <v>0</v>
      </c>
    </row>
    <row r="26" spans="1:30" ht="30" customHeight="1" collapsed="1">
      <c r="A26" s="22" t="s">
        <v>46</v>
      </c>
      <c r="B26" s="23"/>
      <c r="C26" s="24"/>
      <c r="D26" s="54">
        <f>SUM(D5:D25)</f>
        <v>0</v>
      </c>
      <c r="E26" s="23"/>
      <c r="F26" s="24"/>
      <c r="G26" s="54">
        <f>SUM(G5:G25)</f>
        <v>0</v>
      </c>
      <c r="H26" s="23"/>
      <c r="I26" s="24"/>
      <c r="J26" s="52">
        <f>SUM(J5:J25)</f>
        <v>0</v>
      </c>
      <c r="K26" s="23"/>
      <c r="L26" s="24"/>
      <c r="M26" s="52">
        <f>SUM(M5:M25)</f>
        <v>0</v>
      </c>
      <c r="N26" s="23"/>
      <c r="O26" s="24"/>
      <c r="P26" s="52">
        <f>SUM(P5:P25)</f>
        <v>0</v>
      </c>
      <c r="Q26" s="23"/>
      <c r="R26" s="24"/>
      <c r="S26" s="54">
        <f>SUM(S5:S25)</f>
        <v>0</v>
      </c>
      <c r="T26" s="285"/>
      <c r="U26" s="24"/>
      <c r="V26" s="52">
        <f>SUM(V5:V25)</f>
        <v>0</v>
      </c>
      <c r="W26" s="23"/>
      <c r="X26" s="24"/>
      <c r="Y26" s="52">
        <f>SUM(Y5:Y25)</f>
        <v>0</v>
      </c>
      <c r="Z26" s="298">
        <f>SUM(Z5:Z25)</f>
        <v>0</v>
      </c>
      <c r="AA26" s="53">
        <f t="shared" ref="AA26:AA46" si="22">SUM(D26,G26,J26,M26,P26)</f>
        <v>0</v>
      </c>
      <c r="AC26" s="563" t="s">
        <v>57</v>
      </c>
      <c r="AD26" s="563"/>
    </row>
    <row r="27" spans="1:30">
      <c r="A27" s="18" t="str">
        <f>'Effort and OPS Salary'!B14</f>
        <v>Faculty</v>
      </c>
      <c r="B27" s="39">
        <f>SUMIF($A$5:$A$14,A27,$B$5:$B$14)</f>
        <v>0</v>
      </c>
      <c r="C27" s="36">
        <f>'Effort and OPS Salary'!$C$14:$C$14</f>
        <v>0.31</v>
      </c>
      <c r="D27" s="38">
        <f>SUMIF($A$5:$A$14,A27,$D$5:$D$14)*C27</f>
        <v>0</v>
      </c>
      <c r="E27" s="40">
        <f>SUMIF($A$5:$A$14,A27,$E$5:$E$14)</f>
        <v>0</v>
      </c>
      <c r="F27" s="36">
        <f>C27</f>
        <v>0.31</v>
      </c>
      <c r="G27" s="38">
        <f>SUMIF($A$5:$A$14,A27,$G$5:$G$14)*C27</f>
        <v>0</v>
      </c>
      <c r="H27" s="41">
        <f>SUMIF($A$5:$A$14,A27,$H$5:$H$14)</f>
        <v>0</v>
      </c>
      <c r="I27" s="36">
        <f>C27</f>
        <v>0.31</v>
      </c>
      <c r="J27" s="37">
        <f>SUMIF($A$5:$A$14,A27,$J$5:$J$14)*C27</f>
        <v>0</v>
      </c>
      <c r="K27" s="41">
        <f>SUMIF($A$5:$A$14,A27,$K$5:$K$14)</f>
        <v>0</v>
      </c>
      <c r="L27" s="36">
        <f>C27</f>
        <v>0.31</v>
      </c>
      <c r="M27" s="37">
        <f>SUMIF($A$5:$A$14,A27,$M$5:$M$14)*C27</f>
        <v>0</v>
      </c>
      <c r="N27" s="41">
        <f>SUMIF($A$5:$A$14,A27,$N$5:$BN$14)</f>
        <v>0</v>
      </c>
      <c r="O27" s="36">
        <f>C27</f>
        <v>0.31</v>
      </c>
      <c r="P27" s="37">
        <f>SUMIF($A$5:$A$14,A27,$P$5:$P$14)*C27</f>
        <v>0</v>
      </c>
      <c r="Q27" s="37">
        <f>SUMIF($A$5:$A$14,A27,$Q$5:$Q$14)</f>
        <v>0</v>
      </c>
      <c r="R27" s="45">
        <f>C27</f>
        <v>0.31</v>
      </c>
      <c r="S27" s="37">
        <f>SUMIF($A$5:$A$14,A27,$S$5:$S$14)*C27</f>
        <v>0</v>
      </c>
      <c r="T27" s="37">
        <f>SUMIF($A$5:$A$14,A27,$T$5:$T$14)</f>
        <v>0</v>
      </c>
      <c r="U27" s="45">
        <f>C27</f>
        <v>0.31</v>
      </c>
      <c r="V27" s="37">
        <f>SUMIF($A$5:$A$14,A27,$V$5:$V$14)*C27</f>
        <v>0</v>
      </c>
      <c r="W27" s="37">
        <f>SUMIF($A$5:$A$14,A27,$W$5:$W$14)</f>
        <v>0</v>
      </c>
      <c r="X27" s="45">
        <f>C27</f>
        <v>0.31</v>
      </c>
      <c r="Y27" s="37">
        <f>SUMIF($A$5:$A$14,A27,$Y$5:$Y$14)*C27</f>
        <v>0</v>
      </c>
      <c r="Z27" s="299"/>
      <c r="AA27" s="37">
        <f>SUM(D27,G27,J27,M27,P27,S27,V27,Y27)</f>
        <v>0</v>
      </c>
      <c r="AC27" s="19" t="s">
        <v>58</v>
      </c>
      <c r="AD27" s="34">
        <v>174</v>
      </c>
    </row>
    <row r="28" spans="1:30" ht="34.5" customHeight="1">
      <c r="A28" s="18" t="str">
        <f>'Effort and OPS Salary'!B15</f>
        <v>Clinical Faculty</v>
      </c>
      <c r="B28" s="39">
        <f>SUMIF($A$5:$A$14,A28,$B$5:$B$14)</f>
        <v>0</v>
      </c>
      <c r="C28" s="36">
        <f>'Effort and OPS Salary'!$C15:$C15</f>
        <v>0.183</v>
      </c>
      <c r="D28" s="38">
        <f>SUMIF($A$5:$A$14,A28,$D$5:$D$14)*C28</f>
        <v>0</v>
      </c>
      <c r="E28" s="40">
        <f>SUMIF($A$5:$A$14,A28,$E$5:$E$14)</f>
        <v>0</v>
      </c>
      <c r="F28" s="36">
        <f t="shared" ref="F28:F35" si="23">C28</f>
        <v>0.183</v>
      </c>
      <c r="G28" s="38">
        <f t="shared" ref="G28" si="24">SUMIF($A$5:$A$14,A28,$G$5:$G$14)*C28</f>
        <v>0</v>
      </c>
      <c r="H28" s="41">
        <f>SUMIF($A$5:$A$14,A28,$H$5:$H$14)</f>
        <v>0</v>
      </c>
      <c r="I28" s="36">
        <f t="shared" ref="I28:I35" si="25">C28</f>
        <v>0.183</v>
      </c>
      <c r="J28" s="37">
        <f t="shared" ref="J28" si="26">SUMIF($A$5:$A$14,A28,$J$5:$J$14)*C28</f>
        <v>0</v>
      </c>
      <c r="K28" s="41">
        <f>SUMIF($A$5:$A$14,A28,$K$5:$K$14)</f>
        <v>0</v>
      </c>
      <c r="L28" s="36">
        <f t="shared" ref="L28:L35" si="27">C28</f>
        <v>0.183</v>
      </c>
      <c r="M28" s="37">
        <f t="shared" ref="M28" si="28">SUMIF($A$5:$A$14,A28,$M$5:$M$14)*C28</f>
        <v>0</v>
      </c>
      <c r="N28" s="41">
        <f>SUMIF($A$5:$A$14,A28,$N$5:$BN$14)</f>
        <v>0</v>
      </c>
      <c r="O28" s="36">
        <f t="shared" ref="O28:O35" si="29">C28</f>
        <v>0.183</v>
      </c>
      <c r="P28" s="37">
        <f t="shared" ref="P28" si="30">SUMIF($A$5:$A$14,A28,$P$5:$P$14)*C28</f>
        <v>0</v>
      </c>
      <c r="Q28" s="37">
        <f>SUMIF($A$5:$A$14,A28,$Q$5:$Q$14)</f>
        <v>0</v>
      </c>
      <c r="R28" s="45">
        <f t="shared" ref="R28:R35" si="31">C28</f>
        <v>0.183</v>
      </c>
      <c r="S28" s="37">
        <f t="shared" ref="S28" si="32">SUMIF($A$5:$A$14,A28,$S$5:$S$14)*C28</f>
        <v>0</v>
      </c>
      <c r="T28" s="37">
        <f>SUMIF($A$5:$A$14,A28,$T$5:$T$14)</f>
        <v>0</v>
      </c>
      <c r="U28" s="45">
        <f t="shared" ref="U28:U35" si="33">C28</f>
        <v>0.183</v>
      </c>
      <c r="V28" s="37">
        <f t="shared" ref="V28" si="34">SUMIF($A$5:$A$14,A28,$V$5:$V$14)*C28</f>
        <v>0</v>
      </c>
      <c r="W28" s="37">
        <f>SUMIF($A$5:$A$14,A28,$W$5:$W$14)</f>
        <v>0</v>
      </c>
      <c r="X28" s="45">
        <f t="shared" ref="X28:X35" si="35">C28</f>
        <v>0.183</v>
      </c>
      <c r="Y28" s="37">
        <f t="shared" ref="Y28" si="36">SUMIF($A$5:$A$14,A28,$Y$5:$Y$14)*C28</f>
        <v>0</v>
      </c>
      <c r="Z28" s="299"/>
      <c r="AA28" s="37">
        <f t="shared" ref="AA28:AA35" si="37">SUM(D28,G28,J28,M28,P28,S28,V28,Y28)</f>
        <v>0</v>
      </c>
      <c r="AC28" s="35" t="s">
        <v>60</v>
      </c>
      <c r="AD28" s="34">
        <v>87</v>
      </c>
    </row>
    <row r="29" spans="1:30">
      <c r="A29" s="18" t="str">
        <f>'Effort and OPS Salary'!B16</f>
        <v>Exempt TEAMS</v>
      </c>
      <c r="B29" s="39">
        <f>SUMIF($A$16:$A$25,A29,$B$16:$B$25)</f>
        <v>0</v>
      </c>
      <c r="C29" s="36">
        <f>'Effort and OPS Salary'!$C16:$C16</f>
        <v>0.40699999999999997</v>
      </c>
      <c r="D29" s="38">
        <f>SUMIF($A$16:$A$25,A29,$D$16:$D$25)*C29</f>
        <v>0</v>
      </c>
      <c r="E29" s="40">
        <f>SUMIF($A$16:$A$25,A29,$E$16:$E$25)</f>
        <v>0</v>
      </c>
      <c r="F29" s="36">
        <f t="shared" si="23"/>
        <v>0.40699999999999997</v>
      </c>
      <c r="G29" s="38">
        <f>SUMIF($A$16:$A$25,A29,$G$16:$G$25)*C29</f>
        <v>0</v>
      </c>
      <c r="H29" s="41">
        <f>SUMIF($A$16:$A$25,A29,$H$16:$H$25)</f>
        <v>0</v>
      </c>
      <c r="I29" s="36">
        <f t="shared" si="25"/>
        <v>0.40699999999999997</v>
      </c>
      <c r="J29" s="37">
        <f>SUMIF($A$16:$A$25,A29,$J$16:$J$25)*C29</f>
        <v>0</v>
      </c>
      <c r="K29" s="41">
        <f>SUMIF($A$16:$A$25,A29,$K$16:$K$25)</f>
        <v>0</v>
      </c>
      <c r="L29" s="36">
        <f t="shared" si="27"/>
        <v>0.40699999999999997</v>
      </c>
      <c r="M29" s="37">
        <f>SUMIF($A$16:$A$25,A29,$M$16:$M$25)*C29</f>
        <v>0</v>
      </c>
      <c r="N29" s="41">
        <f>SUMIF($A$16:$A$25,A29,$N$16:$N$25)</f>
        <v>0</v>
      </c>
      <c r="O29" s="36">
        <f t="shared" si="29"/>
        <v>0.40699999999999997</v>
      </c>
      <c r="P29" s="37">
        <f>SUMIF($A$16:$A$25,A29,$P$16:$P$25)*C29</f>
        <v>0</v>
      </c>
      <c r="Q29" s="37">
        <f>SUMIF($A$16:$A$25,A29,$Q$16:$Q$25)</f>
        <v>0</v>
      </c>
      <c r="R29" s="45">
        <f t="shared" si="31"/>
        <v>0.40699999999999997</v>
      </c>
      <c r="S29" s="37">
        <f>SUMIF($A$16:$A$25,A29,$S$16:$S$25)*C29</f>
        <v>0</v>
      </c>
      <c r="T29" s="37">
        <f>SUMIF($A$16:$A$25,A29,$T$16:$T$25)</f>
        <v>0</v>
      </c>
      <c r="U29" s="45">
        <f t="shared" si="33"/>
        <v>0.40699999999999997</v>
      </c>
      <c r="V29" s="37">
        <f>SUMIF($A$16:$A$25,A29,$V$16:$V$25)*C29</f>
        <v>0</v>
      </c>
      <c r="W29" s="37">
        <f>SUMIF($A$16:$A$25,A29,$W$16:$W$25)</f>
        <v>0</v>
      </c>
      <c r="X29" s="45">
        <f t="shared" si="35"/>
        <v>0.40699999999999997</v>
      </c>
      <c r="Y29" s="37">
        <f>SUMIF($A$16:$A$25,A29,$Y$16:$Y$25)*C29</f>
        <v>0</v>
      </c>
      <c r="Z29" s="299"/>
      <c r="AA29" s="37">
        <f t="shared" si="37"/>
        <v>0</v>
      </c>
      <c r="AC29" s="35" t="s">
        <v>59</v>
      </c>
      <c r="AD29" s="34">
        <v>2088</v>
      </c>
    </row>
    <row r="30" spans="1:30">
      <c r="A30" s="18" t="str">
        <f>'Effort and OPS Salary'!B17</f>
        <v>Non-Exempt TEAMS</v>
      </c>
      <c r="B30" s="39">
        <f t="shared" ref="B30:B35" si="38">SUMIF($A$16:$A$25,A30,$B$16:$B$25)</f>
        <v>0</v>
      </c>
      <c r="C30" s="36">
        <f>'Effort and OPS Salary'!$C17:$C17</f>
        <v>0.54600000000000004</v>
      </c>
      <c r="D30" s="38">
        <f t="shared" ref="D30:D35" si="39">SUMIF($A$16:$A$25,A30,$D$16:$D$25)*C30</f>
        <v>0</v>
      </c>
      <c r="E30" s="40">
        <f t="shared" ref="E30:E35" si="40">SUMIF($A$16:$A$25,A30,$E$16:$E$25)</f>
        <v>0</v>
      </c>
      <c r="F30" s="36">
        <f t="shared" si="23"/>
        <v>0.54600000000000004</v>
      </c>
      <c r="G30" s="38">
        <f t="shared" ref="G30:G35" si="41">SUMIF($A$16:$A$25,A30,$G$16:$G$25)*C30</f>
        <v>0</v>
      </c>
      <c r="H30" s="41">
        <f t="shared" ref="H30:H35" si="42">SUMIF($A$16:$A$25,A30,$H$16:$H$25)</f>
        <v>0</v>
      </c>
      <c r="I30" s="36">
        <f t="shared" si="25"/>
        <v>0.54600000000000004</v>
      </c>
      <c r="J30" s="37">
        <f t="shared" ref="J30:J35" si="43">SUMIF($A$16:$A$25,A30,$J$16:$J$25)*C30</f>
        <v>0</v>
      </c>
      <c r="K30" s="41">
        <f t="shared" ref="K30:K35" si="44">SUMIF($A$16:$A$25,A30,$K$16:$K$25)</f>
        <v>0</v>
      </c>
      <c r="L30" s="36">
        <f t="shared" si="27"/>
        <v>0.54600000000000004</v>
      </c>
      <c r="M30" s="37">
        <f t="shared" ref="M30:M35" si="45">SUMIF($A$16:$A$25,A30,$M$16:$M$25)*C30</f>
        <v>0</v>
      </c>
      <c r="N30" s="41">
        <f t="shared" ref="N30:N35" si="46">SUMIF($A$16:$A$25,A30,$N$16:$N$25)</f>
        <v>0</v>
      </c>
      <c r="O30" s="36">
        <f t="shared" si="29"/>
        <v>0.54600000000000004</v>
      </c>
      <c r="P30" s="37">
        <f t="shared" ref="P30:P35" si="47">SUMIF($A$16:$A$25,A30,$P$16:$P$25)*C30</f>
        <v>0</v>
      </c>
      <c r="Q30" s="37">
        <f t="shared" ref="Q30:Q35" si="48">SUMIF($A$16:$A$25,A30,$Q$16:$Q$25)</f>
        <v>0</v>
      </c>
      <c r="R30" s="45">
        <f t="shared" si="31"/>
        <v>0.54600000000000004</v>
      </c>
      <c r="S30" s="37">
        <f t="shared" ref="S30:S35" si="49">SUMIF($A$16:$A$25,A30,$S$16:$S$25)*C30</f>
        <v>0</v>
      </c>
      <c r="T30" s="37">
        <f t="shared" ref="T30:T35" si="50">SUMIF($A$16:$A$25,A30,$T$16:$T$25)</f>
        <v>0</v>
      </c>
      <c r="U30" s="45">
        <f t="shared" si="33"/>
        <v>0.54600000000000004</v>
      </c>
      <c r="V30" s="37">
        <f t="shared" ref="V30:V35" si="51">SUMIF($A$16:$A$25,A30,$V$16:$V$25)*C30</f>
        <v>0</v>
      </c>
      <c r="W30" s="37">
        <f t="shared" ref="W30:W35" si="52">SUMIF($A$16:$A$25,A30,$W$16:$W$25)</f>
        <v>0</v>
      </c>
      <c r="X30" s="45">
        <f t="shared" si="35"/>
        <v>0.54600000000000004</v>
      </c>
      <c r="Y30" s="37">
        <f t="shared" ref="Y30:Y35" si="53">SUMIF($A$16:$A$25,A30,$Y$16:$Y$25)*C30</f>
        <v>0</v>
      </c>
      <c r="Z30" s="299"/>
      <c r="AA30" s="37">
        <f t="shared" si="37"/>
        <v>0</v>
      </c>
    </row>
    <row r="31" spans="1:30">
      <c r="A31" s="18" t="str">
        <f>'Effort and OPS Salary'!B18</f>
        <v>Clinical Post Doc Associates</v>
      </c>
      <c r="B31" s="39">
        <f t="shared" si="38"/>
        <v>0</v>
      </c>
      <c r="C31" s="36">
        <f>'Effort and OPS Salary'!$C18:$C18</f>
        <v>0.224</v>
      </c>
      <c r="D31" s="38">
        <f t="shared" si="39"/>
        <v>0</v>
      </c>
      <c r="E31" s="40">
        <f t="shared" si="40"/>
        <v>0</v>
      </c>
      <c r="F31" s="36">
        <f t="shared" si="23"/>
        <v>0.224</v>
      </c>
      <c r="G31" s="38">
        <f t="shared" si="41"/>
        <v>0</v>
      </c>
      <c r="H31" s="41">
        <f t="shared" si="42"/>
        <v>0</v>
      </c>
      <c r="I31" s="36">
        <f t="shared" si="25"/>
        <v>0.224</v>
      </c>
      <c r="J31" s="37">
        <f t="shared" si="43"/>
        <v>0</v>
      </c>
      <c r="K31" s="41">
        <f t="shared" si="44"/>
        <v>0</v>
      </c>
      <c r="L31" s="36">
        <f t="shared" si="27"/>
        <v>0.224</v>
      </c>
      <c r="M31" s="37">
        <f t="shared" si="45"/>
        <v>0</v>
      </c>
      <c r="N31" s="41">
        <f t="shared" si="46"/>
        <v>0</v>
      </c>
      <c r="O31" s="36">
        <f t="shared" si="29"/>
        <v>0.224</v>
      </c>
      <c r="P31" s="37">
        <f t="shared" si="47"/>
        <v>0</v>
      </c>
      <c r="Q31" s="37">
        <f t="shared" si="48"/>
        <v>0</v>
      </c>
      <c r="R31" s="45">
        <f t="shared" si="31"/>
        <v>0.224</v>
      </c>
      <c r="S31" s="37">
        <f t="shared" si="49"/>
        <v>0</v>
      </c>
      <c r="T31" s="37">
        <f t="shared" si="50"/>
        <v>0</v>
      </c>
      <c r="U31" s="45">
        <f t="shared" si="33"/>
        <v>0.224</v>
      </c>
      <c r="V31" s="37">
        <f t="shared" si="51"/>
        <v>0</v>
      </c>
      <c r="W31" s="37">
        <f t="shared" si="52"/>
        <v>0</v>
      </c>
      <c r="X31" s="45">
        <f t="shared" si="35"/>
        <v>0.224</v>
      </c>
      <c r="Y31" s="37">
        <f t="shared" si="53"/>
        <v>0</v>
      </c>
      <c r="Z31" s="299"/>
      <c r="AA31" s="37">
        <f t="shared" si="37"/>
        <v>0</v>
      </c>
    </row>
    <row r="32" spans="1:30">
      <c r="A32" s="18" t="str">
        <f>'Effort and OPS Salary'!B19</f>
        <v>Regular Post Doc</v>
      </c>
      <c r="B32" s="39">
        <f t="shared" si="38"/>
        <v>0</v>
      </c>
      <c r="C32" s="36">
        <f>'Effort and OPS Salary'!$C19:$C19</f>
        <v>0.109</v>
      </c>
      <c r="D32" s="38">
        <f t="shared" si="39"/>
        <v>0</v>
      </c>
      <c r="E32" s="40">
        <f t="shared" si="40"/>
        <v>0</v>
      </c>
      <c r="F32" s="36">
        <f t="shared" si="23"/>
        <v>0.109</v>
      </c>
      <c r="G32" s="38">
        <f t="shared" si="41"/>
        <v>0</v>
      </c>
      <c r="H32" s="41">
        <f t="shared" si="42"/>
        <v>0</v>
      </c>
      <c r="I32" s="36">
        <f t="shared" si="25"/>
        <v>0.109</v>
      </c>
      <c r="J32" s="37">
        <f t="shared" si="43"/>
        <v>0</v>
      </c>
      <c r="K32" s="41">
        <f t="shared" si="44"/>
        <v>0</v>
      </c>
      <c r="L32" s="36">
        <f t="shared" si="27"/>
        <v>0.109</v>
      </c>
      <c r="M32" s="37">
        <f t="shared" si="45"/>
        <v>0</v>
      </c>
      <c r="N32" s="41">
        <f t="shared" si="46"/>
        <v>0</v>
      </c>
      <c r="O32" s="36">
        <f t="shared" si="29"/>
        <v>0.109</v>
      </c>
      <c r="P32" s="37">
        <f t="shared" si="47"/>
        <v>0</v>
      </c>
      <c r="Q32" s="37">
        <f t="shared" si="48"/>
        <v>0</v>
      </c>
      <c r="R32" s="45">
        <f t="shared" si="31"/>
        <v>0.109</v>
      </c>
      <c r="S32" s="37">
        <f t="shared" si="49"/>
        <v>0</v>
      </c>
      <c r="T32" s="37">
        <f t="shared" si="50"/>
        <v>0</v>
      </c>
      <c r="U32" s="45">
        <f t="shared" si="33"/>
        <v>0.109</v>
      </c>
      <c r="V32" s="37">
        <f t="shared" si="51"/>
        <v>0</v>
      </c>
      <c r="W32" s="37">
        <f t="shared" si="52"/>
        <v>0</v>
      </c>
      <c r="X32" s="45">
        <f t="shared" si="35"/>
        <v>0.109</v>
      </c>
      <c r="Y32" s="37">
        <f t="shared" si="53"/>
        <v>0</v>
      </c>
      <c r="Z32" s="299"/>
      <c r="AA32" s="37">
        <f t="shared" si="37"/>
        <v>0</v>
      </c>
    </row>
    <row r="33" spans="1:27">
      <c r="A33" s="18" t="str">
        <f>'Effort and OPS Salary'!B20</f>
        <v>Grad Student</v>
      </c>
      <c r="B33" s="39">
        <f t="shared" si="38"/>
        <v>0</v>
      </c>
      <c r="C33" s="36">
        <f>'Effort and OPS Salary'!$C20:$C20</f>
        <v>0.109</v>
      </c>
      <c r="D33" s="38">
        <f>SUMIF($A$16:$A$25,A33,$D$16:$D$25)*C33</f>
        <v>0</v>
      </c>
      <c r="E33" s="40">
        <f t="shared" si="40"/>
        <v>0</v>
      </c>
      <c r="F33" s="36">
        <f t="shared" si="23"/>
        <v>0.109</v>
      </c>
      <c r="G33" s="38">
        <f t="shared" si="41"/>
        <v>0</v>
      </c>
      <c r="H33" s="41">
        <f t="shared" si="42"/>
        <v>0</v>
      </c>
      <c r="I33" s="36">
        <f t="shared" si="25"/>
        <v>0.109</v>
      </c>
      <c r="J33" s="37">
        <f t="shared" si="43"/>
        <v>0</v>
      </c>
      <c r="K33" s="41">
        <f t="shared" si="44"/>
        <v>0</v>
      </c>
      <c r="L33" s="36">
        <f t="shared" si="27"/>
        <v>0.109</v>
      </c>
      <c r="M33" s="37">
        <f t="shared" si="45"/>
        <v>0</v>
      </c>
      <c r="N33" s="41">
        <f t="shared" si="46"/>
        <v>0</v>
      </c>
      <c r="O33" s="36">
        <f t="shared" si="29"/>
        <v>0.109</v>
      </c>
      <c r="P33" s="37">
        <f t="shared" si="47"/>
        <v>0</v>
      </c>
      <c r="Q33" s="37">
        <f t="shared" si="48"/>
        <v>0</v>
      </c>
      <c r="R33" s="45">
        <f t="shared" si="31"/>
        <v>0.109</v>
      </c>
      <c r="S33" s="37">
        <f t="shared" si="49"/>
        <v>0</v>
      </c>
      <c r="T33" s="37">
        <f t="shared" si="50"/>
        <v>0</v>
      </c>
      <c r="U33" s="45">
        <f t="shared" si="33"/>
        <v>0.109</v>
      </c>
      <c r="V33" s="37">
        <f t="shared" si="51"/>
        <v>0</v>
      </c>
      <c r="W33" s="37">
        <f t="shared" si="52"/>
        <v>0</v>
      </c>
      <c r="X33" s="45">
        <f t="shared" si="35"/>
        <v>0.109</v>
      </c>
      <c r="Y33" s="37">
        <f t="shared" si="53"/>
        <v>0</v>
      </c>
      <c r="Z33" s="299"/>
      <c r="AA33" s="37">
        <f t="shared" si="37"/>
        <v>0</v>
      </c>
    </row>
    <row r="34" spans="1:27">
      <c r="A34" s="18" t="str">
        <f>'Effort and OPS Salary'!B21</f>
        <v>OPS Student/Undergrad Student</v>
      </c>
      <c r="B34" s="39">
        <f t="shared" si="38"/>
        <v>0</v>
      </c>
      <c r="C34" s="36">
        <f>'Effort and OPS Salary'!$C21:$C21</f>
        <v>1.2E-2</v>
      </c>
      <c r="D34" s="38">
        <f t="shared" si="39"/>
        <v>0</v>
      </c>
      <c r="E34" s="40">
        <f t="shared" si="40"/>
        <v>0</v>
      </c>
      <c r="F34" s="36">
        <f t="shared" si="23"/>
        <v>1.2E-2</v>
      </c>
      <c r="G34" s="38">
        <f t="shared" si="41"/>
        <v>0</v>
      </c>
      <c r="H34" s="41">
        <f t="shared" si="42"/>
        <v>0</v>
      </c>
      <c r="I34" s="36">
        <f t="shared" si="25"/>
        <v>1.2E-2</v>
      </c>
      <c r="J34" s="37">
        <f t="shared" si="43"/>
        <v>0</v>
      </c>
      <c r="K34" s="41">
        <f t="shared" si="44"/>
        <v>0</v>
      </c>
      <c r="L34" s="36">
        <f t="shared" si="27"/>
        <v>1.2E-2</v>
      </c>
      <c r="M34" s="37">
        <f t="shared" si="45"/>
        <v>0</v>
      </c>
      <c r="N34" s="41">
        <f t="shared" si="46"/>
        <v>0</v>
      </c>
      <c r="O34" s="36">
        <f t="shared" si="29"/>
        <v>1.2E-2</v>
      </c>
      <c r="P34" s="37">
        <f t="shared" si="47"/>
        <v>0</v>
      </c>
      <c r="Q34" s="37">
        <f t="shared" si="48"/>
        <v>0</v>
      </c>
      <c r="R34" s="45">
        <f t="shared" si="31"/>
        <v>1.2E-2</v>
      </c>
      <c r="S34" s="37">
        <f t="shared" si="49"/>
        <v>0</v>
      </c>
      <c r="T34" s="37">
        <f t="shared" si="50"/>
        <v>0</v>
      </c>
      <c r="U34" s="45">
        <f t="shared" si="33"/>
        <v>1.2E-2</v>
      </c>
      <c r="V34" s="37">
        <f t="shared" si="51"/>
        <v>0</v>
      </c>
      <c r="W34" s="37">
        <f t="shared" si="52"/>
        <v>0</v>
      </c>
      <c r="X34" s="45">
        <f t="shared" si="35"/>
        <v>1.2E-2</v>
      </c>
      <c r="Y34" s="37">
        <f t="shared" si="53"/>
        <v>0</v>
      </c>
      <c r="Z34" s="299"/>
      <c r="AA34" s="37">
        <f t="shared" si="37"/>
        <v>0</v>
      </c>
    </row>
    <row r="35" spans="1:27">
      <c r="A35" s="18" t="str">
        <f>'Effort and OPS Salary'!B22</f>
        <v>OPS Other/Temporary Faculty</v>
      </c>
      <c r="B35" s="39">
        <f t="shared" si="38"/>
        <v>0</v>
      </c>
      <c r="C35" s="36">
        <f>'Effort and OPS Salary'!$C22:$C22</f>
        <v>7.4999999999999997E-2</v>
      </c>
      <c r="D35" s="38">
        <f t="shared" si="39"/>
        <v>0</v>
      </c>
      <c r="E35" s="40">
        <f t="shared" si="40"/>
        <v>0</v>
      </c>
      <c r="F35" s="36">
        <f t="shared" si="23"/>
        <v>7.4999999999999997E-2</v>
      </c>
      <c r="G35" s="38">
        <f t="shared" si="41"/>
        <v>0</v>
      </c>
      <c r="H35" s="41">
        <f t="shared" si="42"/>
        <v>0</v>
      </c>
      <c r="I35" s="36">
        <f t="shared" si="25"/>
        <v>7.4999999999999997E-2</v>
      </c>
      <c r="J35" s="37">
        <f t="shared" si="43"/>
        <v>0</v>
      </c>
      <c r="K35" s="41">
        <f t="shared" si="44"/>
        <v>0</v>
      </c>
      <c r="L35" s="36">
        <f t="shared" si="27"/>
        <v>7.4999999999999997E-2</v>
      </c>
      <c r="M35" s="37">
        <f t="shared" si="45"/>
        <v>0</v>
      </c>
      <c r="N35" s="41">
        <f t="shared" si="46"/>
        <v>0</v>
      </c>
      <c r="O35" s="36">
        <f t="shared" si="29"/>
        <v>7.4999999999999997E-2</v>
      </c>
      <c r="P35" s="37">
        <f t="shared" si="47"/>
        <v>0</v>
      </c>
      <c r="Q35" s="37">
        <f t="shared" si="48"/>
        <v>0</v>
      </c>
      <c r="R35" s="45">
        <f t="shared" si="31"/>
        <v>7.4999999999999997E-2</v>
      </c>
      <c r="S35" s="37">
        <f t="shared" si="49"/>
        <v>0</v>
      </c>
      <c r="T35" s="37">
        <f t="shared" si="50"/>
        <v>0</v>
      </c>
      <c r="U35" s="45">
        <f t="shared" si="33"/>
        <v>7.4999999999999997E-2</v>
      </c>
      <c r="V35" s="37">
        <f t="shared" si="51"/>
        <v>0</v>
      </c>
      <c r="W35" s="37">
        <f t="shared" si="52"/>
        <v>0</v>
      </c>
      <c r="X35" s="45">
        <f t="shared" si="35"/>
        <v>7.4999999999999997E-2</v>
      </c>
      <c r="Y35" s="37">
        <f t="shared" si="53"/>
        <v>0</v>
      </c>
      <c r="Z35" s="299"/>
      <c r="AA35" s="37">
        <f t="shared" si="37"/>
        <v>0</v>
      </c>
    </row>
    <row r="36" spans="1:27" ht="26.4">
      <c r="A36" s="22" t="s">
        <v>48</v>
      </c>
      <c r="B36" s="23"/>
      <c r="C36" s="24"/>
      <c r="D36" s="55">
        <f>SUM(D27:D35)</f>
        <v>0</v>
      </c>
      <c r="E36" s="24"/>
      <c r="F36" s="24"/>
      <c r="G36" s="55">
        <f>SUM(G27:G35)</f>
        <v>0</v>
      </c>
      <c r="H36" s="23"/>
      <c r="I36" s="23"/>
      <c r="J36" s="55">
        <f>SUM(J27:J35)</f>
        <v>0</v>
      </c>
      <c r="K36" s="23"/>
      <c r="L36" s="23"/>
      <c r="M36" s="55">
        <f>SUM(M27:M35)</f>
        <v>0</v>
      </c>
      <c r="N36" s="23"/>
      <c r="O36" s="23"/>
      <c r="P36" s="55">
        <f>SUM(P27:P35)</f>
        <v>0</v>
      </c>
      <c r="Q36" s="23"/>
      <c r="R36" s="23"/>
      <c r="S36" s="55">
        <f>SUM(S27:S35)</f>
        <v>0</v>
      </c>
      <c r="T36" s="23"/>
      <c r="U36" s="23"/>
      <c r="V36" s="55">
        <f>SUM(V27:V35)</f>
        <v>0</v>
      </c>
      <c r="W36" s="23"/>
      <c r="X36" s="23"/>
      <c r="Y36" s="55">
        <f>SUM(Y27:Y35)</f>
        <v>0</v>
      </c>
      <c r="Z36" s="299"/>
      <c r="AA36" s="53">
        <f>SUM(D36,G36,J36,M36,P36,S36,V36,Y36)</f>
        <v>0</v>
      </c>
    </row>
    <row r="37" spans="1:27">
      <c r="A37" s="18" t="s">
        <v>66</v>
      </c>
      <c r="B37" s="23"/>
      <c r="C37" s="24"/>
      <c r="D37" s="32">
        <f>Budget!H48</f>
        <v>0</v>
      </c>
      <c r="E37" s="23"/>
      <c r="F37" s="24"/>
      <c r="G37" s="32">
        <f>Budget!K48</f>
        <v>0</v>
      </c>
      <c r="H37" s="23"/>
      <c r="I37" s="24"/>
      <c r="J37" s="33">
        <f>Budget!N48</f>
        <v>0</v>
      </c>
      <c r="K37" s="23"/>
      <c r="L37" s="24"/>
      <c r="M37" s="33">
        <f>Budget!Q48</f>
        <v>0</v>
      </c>
      <c r="N37" s="23"/>
      <c r="O37" s="24"/>
      <c r="P37" s="33">
        <f>Budget!T48</f>
        <v>0</v>
      </c>
      <c r="Q37" s="23"/>
      <c r="R37" s="23"/>
      <c r="S37" s="33">
        <f>Budget!W48</f>
        <v>0</v>
      </c>
      <c r="T37" s="23"/>
      <c r="U37" s="23"/>
      <c r="V37" s="33">
        <f>Budget!Z48</f>
        <v>0</v>
      </c>
      <c r="W37" s="23"/>
      <c r="X37" s="23"/>
      <c r="Y37" s="33">
        <f>Budget!AC48</f>
        <v>0</v>
      </c>
      <c r="Z37" s="300"/>
      <c r="AA37" s="37">
        <f t="shared" si="22"/>
        <v>0</v>
      </c>
    </row>
    <row r="38" spans="1:27">
      <c r="A38" s="18" t="s">
        <v>67</v>
      </c>
      <c r="B38" s="23"/>
      <c r="C38" s="24"/>
      <c r="D38" s="32">
        <f>Budget!H49</f>
        <v>0</v>
      </c>
      <c r="E38" s="23"/>
      <c r="F38" s="24"/>
      <c r="G38" s="32">
        <f>Budget!K49</f>
        <v>0</v>
      </c>
      <c r="H38" s="23"/>
      <c r="I38" s="24"/>
      <c r="J38" s="33">
        <f>Budget!N49</f>
        <v>0</v>
      </c>
      <c r="K38" s="23"/>
      <c r="L38" s="24"/>
      <c r="M38" s="33">
        <f>Budget!Q49</f>
        <v>0</v>
      </c>
      <c r="N38" s="23"/>
      <c r="O38" s="24"/>
      <c r="P38" s="33">
        <f>Budget!T49</f>
        <v>0</v>
      </c>
      <c r="Q38" s="23"/>
      <c r="R38" s="23"/>
      <c r="S38" s="33">
        <f>Budget!W49</f>
        <v>0</v>
      </c>
      <c r="T38" s="23"/>
      <c r="U38" s="23"/>
      <c r="V38" s="33">
        <f>Budget!Z49</f>
        <v>0</v>
      </c>
      <c r="W38" s="23"/>
      <c r="X38" s="23"/>
      <c r="Y38" s="33">
        <f>Budget!AC49</f>
        <v>0</v>
      </c>
      <c r="Z38" s="300"/>
      <c r="AA38" s="37">
        <f t="shared" si="22"/>
        <v>0</v>
      </c>
    </row>
    <row r="39" spans="1:27" ht="26.4">
      <c r="A39" s="18" t="s">
        <v>49</v>
      </c>
      <c r="B39" s="23"/>
      <c r="C39" s="24"/>
      <c r="D39" s="32">
        <f>Budget!H50</f>
        <v>0</v>
      </c>
      <c r="E39" s="23"/>
      <c r="F39" s="24"/>
      <c r="G39" s="32">
        <f>Budget!K50</f>
        <v>0</v>
      </c>
      <c r="H39" s="23"/>
      <c r="I39" s="24"/>
      <c r="J39" s="33">
        <f>Budget!N50</f>
        <v>0</v>
      </c>
      <c r="K39" s="23"/>
      <c r="L39" s="24"/>
      <c r="M39" s="33">
        <f>Budget!Q50</f>
        <v>0</v>
      </c>
      <c r="N39" s="23"/>
      <c r="O39" s="24"/>
      <c r="P39" s="33">
        <f>Budget!T50</f>
        <v>0</v>
      </c>
      <c r="Q39" s="23"/>
      <c r="R39" s="23"/>
      <c r="S39" s="33">
        <f>Budget!W50</f>
        <v>0</v>
      </c>
      <c r="T39" s="23"/>
      <c r="U39" s="23"/>
      <c r="V39" s="33">
        <f>Budget!Z50</f>
        <v>0</v>
      </c>
      <c r="W39" s="23"/>
      <c r="X39" s="23"/>
      <c r="Y39" s="33">
        <f>Budget!AC50</f>
        <v>0</v>
      </c>
      <c r="Z39" s="300"/>
      <c r="AA39" s="37">
        <f t="shared" si="22"/>
        <v>0</v>
      </c>
    </row>
    <row r="40" spans="1:27" ht="26.4">
      <c r="A40" s="22" t="s">
        <v>68</v>
      </c>
      <c r="B40" s="23"/>
      <c r="C40" s="24"/>
      <c r="D40" s="56">
        <f>SUM(D37:D39)</f>
        <v>0</v>
      </c>
      <c r="E40" s="23"/>
      <c r="F40" s="24"/>
      <c r="G40" s="56">
        <f>SUM(G37:G39)</f>
        <v>0</v>
      </c>
      <c r="H40" s="23"/>
      <c r="I40" s="24"/>
      <c r="J40" s="55">
        <f>SUM(J37:J39)</f>
        <v>0</v>
      </c>
      <c r="K40" s="23"/>
      <c r="L40" s="24"/>
      <c r="M40" s="55">
        <f>SUM(M37:M39)</f>
        <v>0</v>
      </c>
      <c r="N40" s="23"/>
      <c r="O40" s="24"/>
      <c r="P40" s="55">
        <f>SUM(P37:P39)</f>
        <v>0</v>
      </c>
      <c r="Q40" s="23"/>
      <c r="R40" s="23"/>
      <c r="S40" s="55">
        <f t="shared" ref="S40:Y40" si="54">SUM(S37:S39)</f>
        <v>0</v>
      </c>
      <c r="T40" s="23"/>
      <c r="U40" s="23"/>
      <c r="V40" s="55">
        <f t="shared" si="54"/>
        <v>0</v>
      </c>
      <c r="W40" s="23"/>
      <c r="X40" s="23"/>
      <c r="Y40" s="55">
        <f t="shared" si="54"/>
        <v>0</v>
      </c>
      <c r="Z40" s="300"/>
      <c r="AA40" s="53">
        <f t="shared" si="22"/>
        <v>0</v>
      </c>
    </row>
    <row r="41" spans="1:27">
      <c r="A41" s="18" t="s">
        <v>63</v>
      </c>
      <c r="B41" s="23"/>
      <c r="C41" s="24"/>
      <c r="D41" s="32">
        <f>SUMIFS(Budget!$H$36:$H$45, Budget!$F$36:$F$45,A41)</f>
        <v>0</v>
      </c>
      <c r="E41" s="23"/>
      <c r="F41" s="24"/>
      <c r="G41" s="32">
        <f>SUMIFS(Budget!K36:K45, Budget!$F$36:$F$45,A41)</f>
        <v>0</v>
      </c>
      <c r="H41" s="23"/>
      <c r="I41" s="24"/>
      <c r="J41" s="33">
        <f>SUMIFS(Budget!N36:N45, Budget!$F$36:$F$45,A41)</f>
        <v>0</v>
      </c>
      <c r="K41" s="23"/>
      <c r="L41" s="24"/>
      <c r="M41" s="33">
        <f>SUMIFS(Budget!Q36:Q45, Budget!$F$36:$F$45,A41)</f>
        <v>0</v>
      </c>
      <c r="N41" s="23"/>
      <c r="O41" s="24"/>
      <c r="P41" s="33">
        <f>SUMIFS(Budget!T36:T45, Budget!$F$36:$F$45,A41)</f>
        <v>0</v>
      </c>
      <c r="Q41" s="23"/>
      <c r="R41" s="23"/>
      <c r="S41" s="33">
        <f>SUMIFS(Budget!W36:W45, Budget!$F$36:$F$45,A41)</f>
        <v>0</v>
      </c>
      <c r="T41" s="23"/>
      <c r="U41" s="23"/>
      <c r="V41" s="33">
        <f>SUMIFS(Budget!Z36:Z45, Budget!$F$36:$F$45,A41)</f>
        <v>0</v>
      </c>
      <c r="W41" s="23"/>
      <c r="X41" s="23"/>
      <c r="Y41" s="33">
        <f>SUMIFS(Budget!AC36:AC45, Budget!$F$36:$F$45,A41)</f>
        <v>0</v>
      </c>
      <c r="Z41" s="300"/>
      <c r="AA41" s="37">
        <f t="shared" si="22"/>
        <v>0</v>
      </c>
    </row>
    <row r="42" spans="1:27">
      <c r="A42" s="18" t="s">
        <v>50</v>
      </c>
      <c r="B42" s="25" t="s">
        <v>45</v>
      </c>
      <c r="C42" s="19" t="s">
        <v>47</v>
      </c>
      <c r="D42" s="20" t="s">
        <v>45</v>
      </c>
      <c r="E42" s="25" t="s">
        <v>45</v>
      </c>
      <c r="F42" s="19" t="s">
        <v>47</v>
      </c>
      <c r="G42" s="20" t="s">
        <v>45</v>
      </c>
      <c r="H42" s="25" t="s">
        <v>45</v>
      </c>
      <c r="I42" s="19" t="s">
        <v>47</v>
      </c>
      <c r="J42" s="20" t="s">
        <v>45</v>
      </c>
      <c r="K42" s="25" t="s">
        <v>45</v>
      </c>
      <c r="L42" s="19" t="s">
        <v>47</v>
      </c>
      <c r="M42" s="20" t="s">
        <v>45</v>
      </c>
      <c r="N42" s="25" t="s">
        <v>45</v>
      </c>
      <c r="O42" s="19" t="s">
        <v>47</v>
      </c>
      <c r="P42" s="20" t="s">
        <v>45</v>
      </c>
      <c r="Q42" s="20" t="s">
        <v>45</v>
      </c>
      <c r="R42" s="20" t="s">
        <v>45</v>
      </c>
      <c r="S42" s="20" t="s">
        <v>45</v>
      </c>
      <c r="T42" s="20" t="s">
        <v>45</v>
      </c>
      <c r="U42" s="20" t="s">
        <v>45</v>
      </c>
      <c r="V42" s="20" t="s">
        <v>45</v>
      </c>
      <c r="W42" s="20" t="s">
        <v>45</v>
      </c>
      <c r="X42" s="20" t="s">
        <v>45</v>
      </c>
      <c r="Y42" s="20" t="s">
        <v>45</v>
      </c>
      <c r="Z42" s="301"/>
      <c r="AA42" s="37">
        <f t="shared" si="22"/>
        <v>0</v>
      </c>
    </row>
    <row r="43" spans="1:27">
      <c r="A43" s="18" t="s">
        <v>64</v>
      </c>
      <c r="B43" s="23"/>
      <c r="C43" s="24"/>
      <c r="D43" s="32">
        <f>SUMIFS(Budget!$H$36:$H$45, Budget!$F$36:$F$45,A43)</f>
        <v>0</v>
      </c>
      <c r="E43" s="23"/>
      <c r="F43" s="24"/>
      <c r="G43" s="32">
        <f>SUMIFS(Budget!$K$36:$K$45, Budget!$F$36:$F$45,A43)</f>
        <v>0</v>
      </c>
      <c r="H43" s="42"/>
      <c r="I43" s="24"/>
      <c r="J43" s="33">
        <f>SUMIFS(Budget!$N$36:$N$45, Budget!$F$36:$F$45,A43)</f>
        <v>0</v>
      </c>
      <c r="K43" s="42"/>
      <c r="L43" s="24"/>
      <c r="M43" s="33">
        <f>SUMIFS(Budget!$Q$36:$Q$45, Budget!$F$36:$F$45,A43)</f>
        <v>0</v>
      </c>
      <c r="N43" s="42"/>
      <c r="O43" s="24"/>
      <c r="P43" s="33">
        <f>SUMIFS(Budget!$T$36:$T$45, Budget!$F$36:$F$45,A43)</f>
        <v>0</v>
      </c>
      <c r="Q43" s="23"/>
      <c r="R43" s="23"/>
      <c r="S43" s="33">
        <f>SUMIFS(Budget!$W$36:$W$45, Budget!$F$36:$F$45,A43)</f>
        <v>0</v>
      </c>
      <c r="T43" s="23"/>
      <c r="U43" s="23"/>
      <c r="V43" s="33">
        <f>SUMIFS(Budget!$Z$36:$Z$45, Budget!$F$36:$F$45,A43)</f>
        <v>0</v>
      </c>
      <c r="W43" s="23"/>
      <c r="X43" s="23"/>
      <c r="Y43" s="33">
        <f>SUMIFS(Budget!$AC$36:$AC$45, Budget!$F$36:$F$45,A43)</f>
        <v>0</v>
      </c>
      <c r="Z43" s="300"/>
      <c r="AA43" s="37">
        <f t="shared" si="22"/>
        <v>0</v>
      </c>
    </row>
    <row r="44" spans="1:27">
      <c r="A44" s="18" t="s">
        <v>65</v>
      </c>
      <c r="B44" s="23"/>
      <c r="C44" s="24"/>
      <c r="D44" s="32">
        <f>SUMIFS(Budget!$H$36:$H$45, Budget!$F$36:$F$45,A44)</f>
        <v>0</v>
      </c>
      <c r="E44" s="23"/>
      <c r="F44" s="24"/>
      <c r="G44" s="32">
        <f>SUMIFS(Budget!$K$36:$K$45, Budget!$F$36:$F$45,A44)</f>
        <v>0</v>
      </c>
      <c r="H44" s="42"/>
      <c r="I44" s="24"/>
      <c r="J44" s="33">
        <f>SUMIFS(Budget!$N$36:$N$45, Budget!$F$36:$F$45,A44)</f>
        <v>0</v>
      </c>
      <c r="K44" s="42"/>
      <c r="L44" s="24"/>
      <c r="M44" s="33">
        <f>SUMIFS(Budget!$Q$36:$Q$45, Budget!$F$36:$F$45,A44)</f>
        <v>0</v>
      </c>
      <c r="N44" s="42"/>
      <c r="O44" s="24"/>
      <c r="P44" s="33">
        <f>SUMIFS(Budget!$T$36:$T$45, Budget!$F$36:$F$45,A44)</f>
        <v>0</v>
      </c>
      <c r="Q44" s="23"/>
      <c r="R44" s="23"/>
      <c r="S44" s="33">
        <f>SUMIFS(Budget!$W$36:$W$45, Budget!$F$36:$F$45,A44)</f>
        <v>0</v>
      </c>
      <c r="T44" s="23"/>
      <c r="U44" s="23"/>
      <c r="V44" s="33">
        <f>SUMIFS(Budget!$Z$36:$Z$45, Budget!$F$36:$F$45,A44)</f>
        <v>0</v>
      </c>
      <c r="W44" s="23"/>
      <c r="X44" s="23"/>
      <c r="Y44" s="33">
        <f>SUMIFS(Budget!$AC$36:$AC$45, Budget!$F$36:$F$45,A44)</f>
        <v>0</v>
      </c>
      <c r="Z44" s="300"/>
      <c r="AA44" s="37">
        <f t="shared" si="22"/>
        <v>0</v>
      </c>
    </row>
    <row r="45" spans="1:27">
      <c r="A45" s="18" t="s">
        <v>61</v>
      </c>
      <c r="B45" s="23"/>
      <c r="C45" s="24"/>
      <c r="D45" s="32">
        <f>SUMIFS(Budget!$H$36:$H$45, Budget!$F$36:$F$45,A45)</f>
        <v>0</v>
      </c>
      <c r="E45" s="23"/>
      <c r="F45" s="24"/>
      <c r="G45" s="32">
        <f>SUMIFS(Budget!$K$36:$K$45, Budget!$F$36:$F$45,A45)</f>
        <v>0</v>
      </c>
      <c r="H45" s="23"/>
      <c r="I45" s="24"/>
      <c r="J45" s="33">
        <f>SUMIFS(Budget!$N$36:$N$45, Budget!$F$36:$F$45,A45)</f>
        <v>0</v>
      </c>
      <c r="K45" s="23"/>
      <c r="L45" s="24"/>
      <c r="M45" s="33">
        <f>SUMIFS(Budget!$Q$36:$Q$45, Budget!$F$36:$F$45,A45)</f>
        <v>0</v>
      </c>
      <c r="N45" s="23"/>
      <c r="O45" s="24"/>
      <c r="P45" s="33">
        <f>SUMIFS(Budget!$T$36:$T$45, Budget!$F$36:$F$45,A45)</f>
        <v>0</v>
      </c>
      <c r="Q45" s="23"/>
      <c r="R45" s="23"/>
      <c r="S45" s="33">
        <f>SUMIFS(Budget!$W$36:$W$45, Budget!$F$36:$F$45,A45)</f>
        <v>0</v>
      </c>
      <c r="T45" s="23"/>
      <c r="U45" s="23"/>
      <c r="V45" s="33">
        <f>SUMIFS(Budget!$Z$36:$Z$45, Budget!$F$36:$F$45,A45)</f>
        <v>0</v>
      </c>
      <c r="W45" s="23"/>
      <c r="X45" s="23"/>
      <c r="Y45" s="33">
        <f>SUMIFS(Budget!$AC$36:$AC$45, Budget!$F$36:$F$45,A45)</f>
        <v>0</v>
      </c>
      <c r="Z45" s="300"/>
      <c r="AA45" s="37">
        <f t="shared" si="22"/>
        <v>0</v>
      </c>
    </row>
    <row r="46" spans="1:27">
      <c r="A46" s="18" t="s">
        <v>62</v>
      </c>
      <c r="B46" s="23"/>
      <c r="C46" s="24"/>
      <c r="D46" s="32">
        <f>SUMIFS(Budget!$H$36:$H$45, Budget!$F$36:$F$45,A46)</f>
        <v>0</v>
      </c>
      <c r="E46" s="23"/>
      <c r="F46" s="24"/>
      <c r="G46" s="32">
        <f>SUMIFS(Budget!$K$36:$K$45, Budget!$F$36:$F$45,A46)</f>
        <v>0</v>
      </c>
      <c r="H46" s="23"/>
      <c r="I46" s="24"/>
      <c r="J46" s="33">
        <f>SUMIFS(Budget!$N$36:$N$45, Budget!$F$36:$F$45,A46)</f>
        <v>0</v>
      </c>
      <c r="K46" s="23"/>
      <c r="L46" s="24"/>
      <c r="M46" s="33">
        <f>SUMIFS(Budget!$Q$36:$Q$45, Budget!$F$36:$F$45,A46)</f>
        <v>0</v>
      </c>
      <c r="N46" s="23"/>
      <c r="O46" s="24"/>
      <c r="P46" s="33">
        <f>SUMIFS(Budget!$T$36:$T$45, Budget!$F$36:$F$45,A46)</f>
        <v>0</v>
      </c>
      <c r="Q46" s="23"/>
      <c r="R46" s="23"/>
      <c r="S46" s="33">
        <f>SUMIFS(Budget!$W$36:$W$45, Budget!$F$36:$F$45,A46)</f>
        <v>0</v>
      </c>
      <c r="T46" s="23"/>
      <c r="U46" s="23"/>
      <c r="V46" s="33">
        <f>SUMIFS(Budget!$Z$36:$Z$45, Budget!$F$36:$F$45,A46)</f>
        <v>0</v>
      </c>
      <c r="W46" s="23"/>
      <c r="X46" s="23"/>
      <c r="Y46" s="33">
        <f>SUMIFS(Budget!$AC$36:$AC$45, Budget!$F$36:$F$45,A46)</f>
        <v>0</v>
      </c>
      <c r="Z46" s="300"/>
      <c r="AA46" s="37">
        <f t="shared" si="22"/>
        <v>0</v>
      </c>
    </row>
    <row r="47" spans="1:27">
      <c r="A47" s="18" t="s">
        <v>240</v>
      </c>
      <c r="B47" s="23"/>
      <c r="C47" s="24"/>
      <c r="D47" s="32">
        <f>SUMIFS(Budget!$H$36:$H$45, Budget!$F$36:$F$45,A47)</f>
        <v>0</v>
      </c>
      <c r="E47" s="23"/>
      <c r="F47" s="24"/>
      <c r="G47" s="32">
        <f>SUMIFS(Budget!$K$36:$K$45, Budget!$F$36:$F$45,A47)</f>
        <v>0</v>
      </c>
      <c r="H47" s="23"/>
      <c r="I47" s="24"/>
      <c r="J47" s="33">
        <f>SUMIFS(Budget!$N$36:$N$45, Budget!$F$36:$F$45,A47)</f>
        <v>0</v>
      </c>
      <c r="K47" s="23"/>
      <c r="L47" s="24"/>
      <c r="M47" s="33">
        <f>SUMIFS(Budget!$Q$36:$Q$45, Budget!$F$36:$F$45,A47)</f>
        <v>0</v>
      </c>
      <c r="N47" s="23"/>
      <c r="O47" s="24"/>
      <c r="P47" s="33">
        <f>SUMIFS(Budget!$T$36:$T$45, Budget!$F$36:$F$45,A47)</f>
        <v>0</v>
      </c>
      <c r="Q47" s="23"/>
      <c r="R47" s="23"/>
      <c r="S47" s="33">
        <f>SUMIFS(Budget!$W$36:$W$45, Budget!$F$36:$F$45,A47)</f>
        <v>0</v>
      </c>
      <c r="T47" s="23"/>
      <c r="U47" s="23"/>
      <c r="V47" s="33">
        <f>SUMIFS(Budget!$Z$36:$Z$45, Budget!$F$36:$F$45,A47)</f>
        <v>0</v>
      </c>
      <c r="W47" s="23"/>
      <c r="X47" s="23"/>
      <c r="Y47" s="33">
        <f>SUMIFS(Budget!$AC$36:$AC$45, Budget!$F$36:$F$45,A47)</f>
        <v>0</v>
      </c>
      <c r="Z47" s="300"/>
      <c r="AA47" s="37"/>
    </row>
    <row r="48" spans="1:27" ht="26.4">
      <c r="A48" s="22" t="s">
        <v>69</v>
      </c>
      <c r="B48" s="23"/>
      <c r="C48" s="24"/>
      <c r="D48" s="56">
        <f>SUM(D41:D47)</f>
        <v>0</v>
      </c>
      <c r="E48" s="23"/>
      <c r="F48" s="24"/>
      <c r="G48" s="56">
        <f>SUM(G41:G47)</f>
        <v>0</v>
      </c>
      <c r="H48" s="23"/>
      <c r="I48" s="24"/>
      <c r="J48" s="56">
        <f>SUM(J41:J47)</f>
        <v>0</v>
      </c>
      <c r="K48" s="23"/>
      <c r="L48" s="24"/>
      <c r="M48" s="56">
        <f>SUM(M41:M47)</f>
        <v>0</v>
      </c>
      <c r="N48" s="23"/>
      <c r="O48" s="24"/>
      <c r="P48" s="56">
        <f>SUM(P41:P47)</f>
        <v>0</v>
      </c>
      <c r="Q48" s="23"/>
      <c r="R48" s="23"/>
      <c r="S48" s="56">
        <f>SUM(S41:S47)</f>
        <v>0</v>
      </c>
      <c r="T48" s="23"/>
      <c r="U48" s="23"/>
      <c r="V48" s="56">
        <f>SUM(V41:V47)</f>
        <v>0</v>
      </c>
      <c r="W48" s="23"/>
      <c r="X48" s="23"/>
      <c r="Y48" s="56">
        <f>SUM(Y41:Y47)</f>
        <v>0</v>
      </c>
      <c r="Z48" s="302"/>
      <c r="AA48" s="52">
        <f>SUM(D48,G48,J48,M48,P48)</f>
        <v>0</v>
      </c>
    </row>
    <row r="49" spans="1:27">
      <c r="A49" s="18" t="s">
        <v>51</v>
      </c>
      <c r="B49" s="44">
        <f>SUM(D26,D36,D48)</f>
        <v>0</v>
      </c>
      <c r="C49" s="43">
        <f>Budget!F64</f>
        <v>0.52500000000000002</v>
      </c>
      <c r="D49" s="32">
        <f>Budget!H65</f>
        <v>0</v>
      </c>
      <c r="E49" s="44">
        <f>SUM(G26,G36,G48)</f>
        <v>0</v>
      </c>
      <c r="F49" s="36">
        <f>Budget!F64</f>
        <v>0.52500000000000002</v>
      </c>
      <c r="G49" s="32">
        <f>Budget!K65</f>
        <v>0</v>
      </c>
      <c r="H49" s="33">
        <f>SUM(J26,J36,J48)</f>
        <v>0</v>
      </c>
      <c r="I49" s="45">
        <f>Budget!F64</f>
        <v>0.52500000000000002</v>
      </c>
      <c r="J49" s="33">
        <f>Budget!N65</f>
        <v>0</v>
      </c>
      <c r="K49" s="37">
        <f>SUM(M26,M36,M48)</f>
        <v>0</v>
      </c>
      <c r="L49" s="46">
        <f>Budget!F64</f>
        <v>0.52500000000000002</v>
      </c>
      <c r="M49" s="33">
        <f>Budget!Q65</f>
        <v>0</v>
      </c>
      <c r="N49" s="37">
        <f>SUM(P26,P36,P48)</f>
        <v>0</v>
      </c>
      <c r="O49" s="46">
        <f>Budget!F64</f>
        <v>0.52500000000000002</v>
      </c>
      <c r="P49" s="33">
        <f>Budget!T65</f>
        <v>0</v>
      </c>
      <c r="Q49" s="33">
        <f>SUM(S26,S36,S48)</f>
        <v>0</v>
      </c>
      <c r="R49" s="45">
        <f>Budget!F64</f>
        <v>0.52500000000000002</v>
      </c>
      <c r="S49" s="33">
        <f>Budget!W65</f>
        <v>0</v>
      </c>
      <c r="T49" s="33">
        <f>SUM(V26,V36,V48)</f>
        <v>0</v>
      </c>
      <c r="U49" s="45">
        <f>Budget!F64</f>
        <v>0.52500000000000002</v>
      </c>
      <c r="V49" s="33">
        <f>Budget!Z65</f>
        <v>0</v>
      </c>
      <c r="W49" s="33">
        <f>SUM(Y26,Y36,Y48)</f>
        <v>0</v>
      </c>
      <c r="X49" s="45">
        <f>Budget!F64</f>
        <v>0.52500000000000002</v>
      </c>
      <c r="Y49" s="33">
        <f>Budget!AC65</f>
        <v>0</v>
      </c>
      <c r="Z49" s="300"/>
      <c r="AA49" s="37">
        <f>Budget!AD65</f>
        <v>0</v>
      </c>
    </row>
    <row r="50" spans="1:27" ht="26.4">
      <c r="A50" s="22" t="s">
        <v>70</v>
      </c>
      <c r="B50" s="23"/>
      <c r="C50" s="24"/>
      <c r="D50" s="56">
        <f>Budget!H68</f>
        <v>0</v>
      </c>
      <c r="E50" s="23"/>
      <c r="F50" s="24"/>
      <c r="G50" s="56">
        <f>Budget!K68</f>
        <v>0</v>
      </c>
      <c r="H50" s="23"/>
      <c r="I50" s="24"/>
      <c r="J50" s="55">
        <f>Budget!N68</f>
        <v>0</v>
      </c>
      <c r="K50" s="23"/>
      <c r="L50" s="24"/>
      <c r="M50" s="55">
        <f>Budget!Q68</f>
        <v>0</v>
      </c>
      <c r="N50" s="23"/>
      <c r="O50" s="24"/>
      <c r="P50" s="55">
        <f>Budget!T68</f>
        <v>0</v>
      </c>
      <c r="Q50" s="23"/>
      <c r="R50" s="23"/>
      <c r="S50" s="55">
        <f>Budget!W68</f>
        <v>0</v>
      </c>
      <c r="T50" s="23"/>
      <c r="U50" s="23"/>
      <c r="V50" s="55">
        <f>Budget!Z68</f>
        <v>0</v>
      </c>
      <c r="W50" s="23"/>
      <c r="X50" s="23"/>
      <c r="Y50" s="55">
        <f>Budget!AC68</f>
        <v>0</v>
      </c>
      <c r="Z50" s="300"/>
      <c r="AA50" s="57">
        <f>Budget!AD68</f>
        <v>0</v>
      </c>
    </row>
    <row r="51" spans="1:27">
      <c r="A51" s="24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303"/>
      <c r="AA51" s="24"/>
    </row>
    <row r="52" spans="1:27">
      <c r="A52" s="18" t="s">
        <v>52</v>
      </c>
      <c r="B52" s="25" t="s">
        <v>45</v>
      </c>
      <c r="C52" s="19" t="s">
        <v>47</v>
      </c>
      <c r="D52" s="20" t="s">
        <v>45</v>
      </c>
      <c r="E52" s="25" t="s">
        <v>45</v>
      </c>
      <c r="F52" s="19" t="s">
        <v>47</v>
      </c>
      <c r="G52" s="20" t="s">
        <v>45</v>
      </c>
      <c r="H52" s="25" t="s">
        <v>45</v>
      </c>
      <c r="I52" s="19" t="s">
        <v>47</v>
      </c>
      <c r="J52" s="21"/>
      <c r="K52" s="25" t="s">
        <v>45</v>
      </c>
      <c r="L52" s="19" t="s">
        <v>47</v>
      </c>
      <c r="M52" s="21"/>
      <c r="N52" s="25" t="s">
        <v>45</v>
      </c>
      <c r="O52" s="19" t="s">
        <v>47</v>
      </c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304"/>
      <c r="AA52" s="21" t="s">
        <v>45</v>
      </c>
    </row>
    <row r="53" spans="1:27">
      <c r="A53" s="22" t="s">
        <v>53</v>
      </c>
      <c r="B53" s="23"/>
      <c r="C53" s="24"/>
      <c r="D53" s="20" t="s">
        <v>45</v>
      </c>
      <c r="E53" s="23"/>
      <c r="F53" s="24"/>
      <c r="G53" s="20" t="s">
        <v>45</v>
      </c>
      <c r="H53" s="23"/>
      <c r="I53" s="24"/>
      <c r="J53" s="21"/>
      <c r="K53" s="23"/>
      <c r="L53" s="24"/>
      <c r="M53" s="21"/>
      <c r="N53" s="23"/>
      <c r="O53" s="24"/>
      <c r="P53" s="21"/>
      <c r="Q53" s="24"/>
      <c r="R53" s="24"/>
      <c r="S53" s="21"/>
      <c r="T53" s="24"/>
      <c r="U53" s="24"/>
      <c r="V53" s="21"/>
      <c r="W53" s="24"/>
      <c r="X53" s="24"/>
      <c r="Y53" s="21"/>
      <c r="Z53" s="304"/>
      <c r="AA53" s="21" t="s">
        <v>45</v>
      </c>
    </row>
    <row r="54" spans="1:27">
      <c r="A54" s="18" t="s">
        <v>54</v>
      </c>
      <c r="B54" s="23"/>
      <c r="C54" s="24"/>
      <c r="D54" s="20" t="s">
        <v>45</v>
      </c>
      <c r="E54" s="23"/>
      <c r="F54" s="24"/>
      <c r="G54" s="20" t="s">
        <v>45</v>
      </c>
      <c r="H54" s="23"/>
      <c r="I54" s="24"/>
      <c r="J54" s="21"/>
      <c r="K54" s="23"/>
      <c r="L54" s="24"/>
      <c r="M54" s="21"/>
      <c r="N54" s="23"/>
      <c r="O54" s="24"/>
      <c r="P54" s="21"/>
      <c r="Q54" s="24"/>
      <c r="R54" s="24"/>
      <c r="S54" s="21"/>
      <c r="T54" s="24"/>
      <c r="U54" s="24"/>
      <c r="V54" s="21"/>
      <c r="W54" s="24"/>
      <c r="X54" s="24"/>
      <c r="Y54" s="21"/>
      <c r="Z54" s="304"/>
      <c r="AA54" s="21" t="s">
        <v>45</v>
      </c>
    </row>
    <row r="55" spans="1:27" ht="15" thickBot="1">
      <c r="A55" s="26" t="s">
        <v>55</v>
      </c>
      <c r="B55" s="27"/>
      <c r="C55" s="28"/>
      <c r="D55" s="29" t="s">
        <v>45</v>
      </c>
      <c r="E55" s="27"/>
      <c r="F55" s="28"/>
      <c r="G55" s="29" t="s">
        <v>45</v>
      </c>
      <c r="H55" s="27"/>
      <c r="I55" s="28"/>
      <c r="J55" s="30"/>
      <c r="K55" s="27"/>
      <c r="L55" s="28"/>
      <c r="M55" s="30"/>
      <c r="N55" s="27"/>
      <c r="O55" s="28"/>
      <c r="P55" s="30"/>
      <c r="Q55" s="28"/>
      <c r="R55" s="28"/>
      <c r="S55" s="30"/>
      <c r="T55" s="28"/>
      <c r="U55" s="28"/>
      <c r="V55" s="30"/>
      <c r="W55" s="28"/>
      <c r="X55" s="28"/>
      <c r="Y55" s="30"/>
      <c r="Z55" s="305"/>
      <c r="AA55" s="30" t="s">
        <v>45</v>
      </c>
    </row>
  </sheetData>
  <mergeCells count="13">
    <mergeCell ref="AC26:AD26"/>
    <mergeCell ref="Z2:Z3"/>
    <mergeCell ref="A1:AA1"/>
    <mergeCell ref="A2:A3"/>
    <mergeCell ref="B2:D2"/>
    <mergeCell ref="E2:G2"/>
    <mergeCell ref="AA2:AA3"/>
    <mergeCell ref="H2:J2"/>
    <mergeCell ref="K2:M2"/>
    <mergeCell ref="N2:P2"/>
    <mergeCell ref="Q2:S2"/>
    <mergeCell ref="T2:V2"/>
    <mergeCell ref="W2:Y2"/>
  </mergeCells>
  <pageMargins left="0.7" right="0.7" top="0.75" bottom="0.75" header="0.25" footer="0.3"/>
  <pageSetup orientation="landscape" r:id="rId1"/>
  <headerFooter>
    <oddFooter>&amp;CSource Selection Information - see FAR 2.101 &amp; 3.104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T320"/>
  <sheetViews>
    <sheetView topLeftCell="A2" zoomScale="80" zoomScaleNormal="80" workbookViewId="0">
      <pane ySplit="9" topLeftCell="A11" activePane="bottomLeft" state="frozen"/>
      <selection activeCell="F27" sqref="F27"/>
      <selection pane="bottomLeft" activeCell="B2" sqref="B2"/>
    </sheetView>
  </sheetViews>
  <sheetFormatPr defaultColWidth="11.09765625" defaultRowHeight="15.6" outlineLevelRow="1" outlineLevelCol="1"/>
  <cols>
    <col min="1" max="1" width="32.59765625" customWidth="1"/>
    <col min="2" max="2" width="19.3984375" customWidth="1"/>
    <col min="3" max="3" width="18.59765625" customWidth="1"/>
    <col min="4" max="4" width="19.19921875" customWidth="1"/>
    <col min="5" max="5" width="12.19921875" customWidth="1"/>
    <col min="6" max="6" width="12.09765625" customWidth="1"/>
    <col min="7" max="7" width="12.69921875" customWidth="1"/>
    <col min="8" max="8" width="11" customWidth="1"/>
    <col min="9" max="9" width="12.5" customWidth="1"/>
    <col min="10" max="10" width="12" customWidth="1"/>
    <col min="11" max="11" width="11" customWidth="1"/>
    <col min="12" max="12" width="11.19921875" customWidth="1"/>
    <col min="13" max="13" width="12.3984375" customWidth="1"/>
    <col min="14" max="14" width="10.8984375" customWidth="1"/>
    <col min="15" max="15" width="11.5" customWidth="1"/>
    <col min="16" max="16" width="11.8984375" customWidth="1"/>
    <col min="17" max="17" width="11.3984375" customWidth="1"/>
    <col min="18" max="26" width="11.3984375" hidden="1" customWidth="1" outlineLevel="1"/>
    <col min="27" max="27" width="11.3984375" customWidth="1" collapsed="1"/>
    <col min="28" max="28" width="14.09765625" customWidth="1"/>
    <col min="29" max="29" width="19.3984375" bestFit="1" customWidth="1"/>
    <col min="40" max="45" width="0" hidden="1" customWidth="1" outlineLevel="1"/>
    <col min="46" max="46" width="11.09765625" collapsed="1"/>
  </cols>
  <sheetData>
    <row r="1" spans="1:45" s="58" customFormat="1">
      <c r="A1" s="68" t="s">
        <v>40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45" s="58" customFormat="1">
      <c r="A2" s="68" t="s">
        <v>40</v>
      </c>
      <c r="B2" s="456">
        <f>Budget!B1</f>
        <v>0</v>
      </c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45" s="1" customFormat="1">
      <c r="A3" s="69" t="s">
        <v>39</v>
      </c>
      <c r="B3" s="61" t="str">
        <f>Budget!B2</f>
        <v>NIH</v>
      </c>
      <c r="AA3" s="63"/>
    </row>
    <row r="4" spans="1:45" s="1" customFormat="1">
      <c r="A4" s="258" t="s">
        <v>82</v>
      </c>
      <c r="B4" s="64">
        <f>CAP</f>
        <v>199300</v>
      </c>
      <c r="C4" s="62"/>
      <c r="AA4" s="63"/>
    </row>
    <row r="5" spans="1:45" s="1" customFormat="1">
      <c r="A5" s="69" t="s">
        <v>76</v>
      </c>
      <c r="B5" s="60">
        <f>Budget!B4</f>
        <v>44743</v>
      </c>
      <c r="C5" s="60"/>
      <c r="AA5" s="63"/>
    </row>
    <row r="6" spans="1:45" s="1" customFormat="1">
      <c r="A6" s="69" t="s">
        <v>77</v>
      </c>
      <c r="B6" s="60">
        <f>Budget!B5</f>
        <v>46568</v>
      </c>
      <c r="C6" s="60"/>
      <c r="AA6" s="63"/>
    </row>
    <row r="7" spans="1:45" s="1" customFormat="1">
      <c r="A7" s="70" t="s">
        <v>87</v>
      </c>
      <c r="B7" s="67">
        <f>Budget!B6</f>
        <v>0.03</v>
      </c>
      <c r="C7" s="60"/>
      <c r="AA7" s="63"/>
    </row>
    <row r="8" spans="1:45" s="1" customFormat="1" hidden="1">
      <c r="A8" s="71" t="s">
        <v>78</v>
      </c>
      <c r="B8" s="257">
        <f>ROUND((B6-B5)/365,2)</f>
        <v>5</v>
      </c>
      <c r="C8" s="575">
        <f>IF(B8&gt;0,IF(B8&lt;1,B8,1),0)</f>
        <v>1</v>
      </c>
      <c r="D8" s="575"/>
      <c r="E8" s="575"/>
      <c r="F8" s="575">
        <f>IF(B8&lt;=1,0,IF(B8&lt;2,B8-1,1))</f>
        <v>1</v>
      </c>
      <c r="G8" s="575"/>
      <c r="H8" s="575"/>
      <c r="I8" s="575">
        <f>IF(B8&lt;=2,0,IF(B8&lt;3,B8-2,1))</f>
        <v>1</v>
      </c>
      <c r="J8" s="575"/>
      <c r="K8" s="575"/>
      <c r="L8" s="575">
        <f>IF(B8&lt;=3,0,IF(B8&lt;4,B8-3,1))</f>
        <v>1</v>
      </c>
      <c r="M8" s="575"/>
      <c r="N8" s="575"/>
      <c r="O8" s="575">
        <f>IF(B8&lt;=4,0,IF(B8&lt;5,B8-4,1))</f>
        <v>1</v>
      </c>
      <c r="P8" s="575"/>
      <c r="Q8" s="575"/>
      <c r="R8" s="575">
        <f>IF(B8&lt;=5,0,IF(B8&lt;6,B8-5,1))</f>
        <v>0</v>
      </c>
      <c r="S8" s="575"/>
      <c r="T8" s="575"/>
      <c r="U8" s="575">
        <f>IF(B8&lt;=6,0,IF(B8&lt;7,B8-6,1))</f>
        <v>0</v>
      </c>
      <c r="V8" s="575"/>
      <c r="W8" s="575"/>
      <c r="X8" s="575">
        <f>IF(B8&lt;=7,0,IF(B8&lt;8,B8-7,1))</f>
        <v>0</v>
      </c>
      <c r="Y8" s="575"/>
      <c r="Z8" s="575"/>
      <c r="AA8" s="63"/>
    </row>
    <row r="9" spans="1:45" s="1" customFormat="1" hidden="1">
      <c r="A9" s="71" t="s">
        <v>180</v>
      </c>
      <c r="B9" s="257">
        <f>B8*12</f>
        <v>60</v>
      </c>
      <c r="C9" s="576">
        <f>C8*12</f>
        <v>12</v>
      </c>
      <c r="D9" s="576"/>
      <c r="E9" s="576"/>
      <c r="F9" s="576">
        <f>F8*12</f>
        <v>12</v>
      </c>
      <c r="G9" s="576"/>
      <c r="H9" s="576"/>
      <c r="I9" s="576">
        <f>I8*12</f>
        <v>12</v>
      </c>
      <c r="J9" s="576"/>
      <c r="K9" s="576"/>
      <c r="L9" s="576">
        <f>L8*12</f>
        <v>12</v>
      </c>
      <c r="M9" s="576"/>
      <c r="N9" s="576"/>
      <c r="O9" s="576">
        <f>O8*12</f>
        <v>12</v>
      </c>
      <c r="P9" s="576"/>
      <c r="Q9" s="576"/>
      <c r="R9" s="576">
        <f>R8*12</f>
        <v>0</v>
      </c>
      <c r="S9" s="576"/>
      <c r="T9" s="576"/>
      <c r="U9" s="576">
        <f>U8*12</f>
        <v>0</v>
      </c>
      <c r="V9" s="576"/>
      <c r="W9" s="576"/>
      <c r="X9" s="576">
        <f>X8*12</f>
        <v>0</v>
      </c>
      <c r="Y9" s="576"/>
      <c r="Z9" s="576"/>
      <c r="AA9" s="63"/>
    </row>
    <row r="10" spans="1:45" s="1" customFormat="1" ht="21">
      <c r="A10" s="70"/>
      <c r="B10" s="85"/>
      <c r="C10" s="574" t="s">
        <v>1</v>
      </c>
      <c r="D10" s="574"/>
      <c r="E10" s="574"/>
      <c r="F10" s="574" t="s">
        <v>2</v>
      </c>
      <c r="G10" s="574"/>
      <c r="H10" s="574"/>
      <c r="I10" s="574" t="s">
        <v>3</v>
      </c>
      <c r="J10" s="574"/>
      <c r="K10" s="574"/>
      <c r="L10" s="574" t="s">
        <v>4</v>
      </c>
      <c r="M10" s="574"/>
      <c r="N10" s="574"/>
      <c r="O10" s="574" t="s">
        <v>5</v>
      </c>
      <c r="P10" s="574"/>
      <c r="Q10" s="574"/>
      <c r="R10" s="574" t="s">
        <v>106</v>
      </c>
      <c r="S10" s="574"/>
      <c r="T10" s="574"/>
      <c r="U10" s="574" t="s">
        <v>107</v>
      </c>
      <c r="V10" s="574"/>
      <c r="W10" s="574"/>
      <c r="X10" s="574" t="s">
        <v>108</v>
      </c>
      <c r="Y10" s="574"/>
      <c r="Z10" s="574"/>
      <c r="AA10" s="6" t="s">
        <v>22</v>
      </c>
      <c r="AB10" s="65"/>
    </row>
    <row r="11" spans="1:45" s="1" customFormat="1">
      <c r="A11" s="259" t="s">
        <v>73</v>
      </c>
      <c r="B11" s="254" t="s">
        <v>84</v>
      </c>
      <c r="C11" s="254" t="s">
        <v>74</v>
      </c>
      <c r="D11" s="254" t="s">
        <v>0</v>
      </c>
      <c r="E11" s="254" t="s">
        <v>181</v>
      </c>
      <c r="F11" s="254" t="s">
        <v>74</v>
      </c>
      <c r="G11" s="254" t="s">
        <v>0</v>
      </c>
      <c r="H11" s="254" t="s">
        <v>181</v>
      </c>
      <c r="I11" s="254" t="s">
        <v>74</v>
      </c>
      <c r="J11" s="254" t="s">
        <v>0</v>
      </c>
      <c r="K11" s="254" t="s">
        <v>181</v>
      </c>
      <c r="L11" s="254" t="s">
        <v>74</v>
      </c>
      <c r="M11" s="254" t="s">
        <v>0</v>
      </c>
      <c r="N11" s="254" t="s">
        <v>181</v>
      </c>
      <c r="O11" s="254" t="s">
        <v>74</v>
      </c>
      <c r="P11" s="254" t="s">
        <v>0</v>
      </c>
      <c r="Q11" s="254" t="s">
        <v>181</v>
      </c>
      <c r="R11" s="254" t="s">
        <v>74</v>
      </c>
      <c r="S11" s="254" t="s">
        <v>0</v>
      </c>
      <c r="T11" s="254" t="s">
        <v>181</v>
      </c>
      <c r="U11" s="254" t="s">
        <v>74</v>
      </c>
      <c r="V11" s="254" t="s">
        <v>0</v>
      </c>
      <c r="W11" s="254" t="s">
        <v>181</v>
      </c>
      <c r="X11" s="254" t="s">
        <v>74</v>
      </c>
      <c r="Y11" s="254" t="s">
        <v>0</v>
      </c>
      <c r="Z11" s="254" t="s">
        <v>181</v>
      </c>
      <c r="AA11" s="86"/>
      <c r="AB11" s="63"/>
    </row>
    <row r="12" spans="1:45" s="1" customFormat="1">
      <c r="A12" s="260">
        <f>Budget!A11</f>
        <v>0</v>
      </c>
      <c r="B12" s="261">
        <f>Budget!D11</f>
        <v>0</v>
      </c>
      <c r="C12" s="262">
        <f>Budget!F11</f>
        <v>0</v>
      </c>
      <c r="D12" s="263">
        <f>$C$12*12*C8</f>
        <v>0</v>
      </c>
      <c r="E12" s="264">
        <f>IFERROR(ROUND(MIN(IF(CAP="none",1000000,CAP*D12/$C$9*C$8),B12*D12/$C$9*C$8),0)*(1+B$7)*(1+Budget!C11),"$0.00")+IF(D12&gt;0,-Budget!AG11,"$0.00")</f>
        <v>0</v>
      </c>
      <c r="F12" s="262">
        <f>Budget!I11</f>
        <v>0</v>
      </c>
      <c r="G12" s="263">
        <f>$C$12*12*F8</f>
        <v>0</v>
      </c>
      <c r="H12" s="264">
        <f>IFERROR(ROUND(MIN(IF(CAP="none",1000000,CAP*G12/$F$9*F$8),B12*G12/$F$9*F$8),0)*(1+B$7)^2*(1+Budget!C11),"$0.00")+IF(G12&gt;0,-Budget!AH11,"$0.00")</f>
        <v>0</v>
      </c>
      <c r="I12" s="262">
        <f>Budget!L11</f>
        <v>0</v>
      </c>
      <c r="J12" s="263">
        <f>$C$12*12*I8</f>
        <v>0</v>
      </c>
      <c r="K12" s="264">
        <f>IFERROR(ROUND(MIN(IF(CAP="none",1000000,CAP*J12/$I$9*I$8),B12*J12/$I$9*I$8),0)*(1+B$7)^3*(1+Budget!C11),"$0.00")+IF(J12&gt;0,-Budget!AI11,"$0.00")</f>
        <v>0</v>
      </c>
      <c r="L12" s="262">
        <f>Budget!O11</f>
        <v>0</v>
      </c>
      <c r="M12" s="263">
        <f>$C$12*12*L8</f>
        <v>0</v>
      </c>
      <c r="N12" s="264">
        <f>IFERROR(ROUND(MIN(IF(CAP="none",1000000,CAP*M12/$L$9*L$8),B12*M12/$L$9*L$8),0)*(1+B$7)^4*(1+Budget!C11),"$0.00")+IF(M12&gt;0,-Budget!AJ11,"$0.00")</f>
        <v>0</v>
      </c>
      <c r="O12" s="262">
        <f>Budget!R11</f>
        <v>0</v>
      </c>
      <c r="P12" s="263">
        <f>$C$12*12*O8</f>
        <v>0</v>
      </c>
      <c r="Q12" s="264">
        <f>IFERROR(ROUND(MIN(IF(CAP="none",1000000,CAP*P12/$O$9*O$8),B12*P12/$O$9*O$8),0)*(1+B$7)^5*(1+Budget!C11),"$0.00")+IF(P12&gt;0,-Budget!AK11,"$0.00")</f>
        <v>0</v>
      </c>
      <c r="R12" s="262">
        <f>Budget!U11</f>
        <v>0</v>
      </c>
      <c r="S12" s="263">
        <f>$C$12*12*R8</f>
        <v>0</v>
      </c>
      <c r="T12" s="264">
        <f>IFERROR(ROUND(MIN(IF(CAP="none",1000000,CAP*S12/$R$9*R$8),B12*S12/$R$9*R$8),0)*(1+B$7)^6*(1+Budget!C11),"$0.00")+IF(S12&gt;0,-Budget!AL11,"$0.00")</f>
        <v>0</v>
      </c>
      <c r="U12" s="262">
        <f>Budget!X11</f>
        <v>0</v>
      </c>
      <c r="V12" s="263">
        <f>$C$12*12*U8</f>
        <v>0</v>
      </c>
      <c r="W12" s="264">
        <f>IFERROR(ROUND(MIN(IF(CAP="none",1000000,CAP*V12/$U$9*U$8),B12*V12/$U$9*U$8),0)*(1+B$7)^7*(1+Budget!C11),"$0.00")+IF(V12&gt;0,-Budget!AM11,"$0.00")</f>
        <v>0</v>
      </c>
      <c r="X12" s="262">
        <f>Budget!AA11</f>
        <v>0</v>
      </c>
      <c r="Y12" s="263">
        <f>$C$12*12*X8</f>
        <v>0</v>
      </c>
      <c r="Z12" s="264">
        <f>IFERROR(ROUND(MIN(IF(CAP="none",1000000,CAP*Y12/$X$9*X$8),B12*Y12/$X$9*X$8),0)*(1+B$7)^8*(1+Budget!C11),"$0.00")+IF(Y12&gt;0,-Budget!AN11,"$0.00")</f>
        <v>0</v>
      </c>
      <c r="AA12" s="88">
        <f>SUM(E12,H12,K12,N12,Q12,T12,W12,Z12)</f>
        <v>0</v>
      </c>
      <c r="AB12" s="63"/>
    </row>
    <row r="13" spans="1:45" s="1" customFormat="1" ht="15">
      <c r="A13" s="267"/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88"/>
    </row>
    <row r="14" spans="1:45" s="1" customFormat="1" ht="15">
      <c r="A14" s="69"/>
      <c r="B14" s="87"/>
      <c r="C14" s="268" t="s">
        <v>183</v>
      </c>
      <c r="D14" s="269" t="s">
        <v>0</v>
      </c>
      <c r="E14" s="270" t="s">
        <v>184</v>
      </c>
      <c r="F14" s="270"/>
      <c r="G14" s="269" t="s">
        <v>0</v>
      </c>
      <c r="H14" s="270" t="s">
        <v>184</v>
      </c>
      <c r="I14" s="270"/>
      <c r="J14" s="269" t="s">
        <v>0</v>
      </c>
      <c r="K14" s="270" t="s">
        <v>184</v>
      </c>
      <c r="L14" s="270"/>
      <c r="M14" s="269" t="s">
        <v>0</v>
      </c>
      <c r="N14" s="270" t="s">
        <v>184</v>
      </c>
      <c r="O14" s="270"/>
      <c r="P14" s="269" t="s">
        <v>0</v>
      </c>
      <c r="Q14" s="270" t="s">
        <v>184</v>
      </c>
      <c r="R14" s="270"/>
      <c r="S14" s="269" t="s">
        <v>0</v>
      </c>
      <c r="T14" s="270" t="s">
        <v>184</v>
      </c>
      <c r="U14" s="270"/>
      <c r="V14" s="269" t="s">
        <v>0</v>
      </c>
      <c r="W14" s="270" t="s">
        <v>184</v>
      </c>
      <c r="X14" s="270"/>
      <c r="Y14" s="269" t="s">
        <v>0</v>
      </c>
      <c r="Z14" s="270" t="s">
        <v>184</v>
      </c>
      <c r="AA14" s="88"/>
    </row>
    <row r="15" spans="1:45" s="1" customFormat="1" ht="15">
      <c r="A15" s="72" t="s">
        <v>185</v>
      </c>
      <c r="B15" s="74" t="s">
        <v>6</v>
      </c>
      <c r="C15" s="271">
        <v>0</v>
      </c>
      <c r="D15" s="271">
        <v>0</v>
      </c>
      <c r="E15" s="264">
        <f>AD16/AE16*D15*$C15</f>
        <v>0</v>
      </c>
      <c r="F15" s="264"/>
      <c r="G15" s="271">
        <v>0</v>
      </c>
      <c r="H15" s="264">
        <f>AF16/AG16*G15*$C15</f>
        <v>0</v>
      </c>
      <c r="I15" s="264"/>
      <c r="J15" s="271">
        <v>0</v>
      </c>
      <c r="K15" s="264">
        <f>AH16/AI16*J15*$C15</f>
        <v>0</v>
      </c>
      <c r="L15" s="264"/>
      <c r="M15" s="271">
        <v>0</v>
      </c>
      <c r="N15" s="264">
        <f>AJ16/AK16*M15*$C15</f>
        <v>0</v>
      </c>
      <c r="O15" s="264"/>
      <c r="P15" s="271">
        <v>0</v>
      </c>
      <c r="Q15" s="264">
        <f>AL16/AM16*P15*$C15</f>
        <v>0</v>
      </c>
      <c r="R15" s="264"/>
      <c r="S15" s="280">
        <v>0</v>
      </c>
      <c r="T15" s="261">
        <f>AN16/AO16*S15*$C15</f>
        <v>0</v>
      </c>
      <c r="U15" s="264"/>
      <c r="V15" s="280">
        <v>0</v>
      </c>
      <c r="W15" s="261">
        <f>AP16/AQ16*V15*$C15</f>
        <v>0</v>
      </c>
      <c r="X15" s="264"/>
      <c r="Y15" s="280">
        <v>0</v>
      </c>
      <c r="Z15" s="261">
        <f>AR16/AS16*Y15*$C15</f>
        <v>0</v>
      </c>
      <c r="AA15" s="88">
        <f>E15+H15+K15+N15+Q15+T15+W15+Z15</f>
        <v>0</v>
      </c>
      <c r="AC15" s="2" t="s">
        <v>192</v>
      </c>
      <c r="AD15" s="514" t="s">
        <v>1</v>
      </c>
      <c r="AE15" s="514"/>
      <c r="AF15" s="514" t="s">
        <v>2</v>
      </c>
      <c r="AG15" s="514"/>
      <c r="AH15" s="514" t="s">
        <v>3</v>
      </c>
      <c r="AI15" s="514"/>
      <c r="AJ15" s="514" t="s">
        <v>4</v>
      </c>
      <c r="AK15" s="514"/>
      <c r="AL15" s="514" t="s">
        <v>5</v>
      </c>
      <c r="AM15" s="514"/>
      <c r="AN15" s="514" t="s">
        <v>106</v>
      </c>
      <c r="AO15" s="514"/>
      <c r="AP15" s="514" t="s">
        <v>107</v>
      </c>
      <c r="AQ15" s="514"/>
      <c r="AR15" s="514" t="s">
        <v>108</v>
      </c>
      <c r="AS15" s="514"/>
    </row>
    <row r="16" spans="1:45" s="1" customFormat="1" ht="15">
      <c r="A16" s="72"/>
      <c r="B16" s="74" t="s">
        <v>7</v>
      </c>
      <c r="C16" s="271">
        <v>0</v>
      </c>
      <c r="D16" s="271">
        <v>0</v>
      </c>
      <c r="E16" s="264">
        <f>AD17/AE17*D16*$C16</f>
        <v>0</v>
      </c>
      <c r="F16" s="264"/>
      <c r="G16" s="271">
        <v>0</v>
      </c>
      <c r="H16" s="264">
        <f>AF17/AG17*G16*$C16</f>
        <v>0</v>
      </c>
      <c r="I16" s="264"/>
      <c r="J16" s="271">
        <v>0</v>
      </c>
      <c r="K16" s="264">
        <f>AH17/AI17*J16*$C16</f>
        <v>0</v>
      </c>
      <c r="L16" s="264"/>
      <c r="M16" s="271">
        <v>0</v>
      </c>
      <c r="N16" s="264">
        <f>AJ17/AK17*M16*$C16</f>
        <v>0</v>
      </c>
      <c r="O16" s="264"/>
      <c r="P16" s="271">
        <v>0</v>
      </c>
      <c r="Q16" s="264">
        <f>AL17/AM17*P16*$C16</f>
        <v>0</v>
      </c>
      <c r="R16" s="264"/>
      <c r="S16" s="280">
        <v>0</v>
      </c>
      <c r="T16" s="261">
        <f>AN17/AO17*S16*$C16</f>
        <v>0</v>
      </c>
      <c r="U16" s="264"/>
      <c r="V16" s="280">
        <v>0</v>
      </c>
      <c r="W16" s="261">
        <f>AP17/AQ17*V16*$C16</f>
        <v>0</v>
      </c>
      <c r="X16" s="264"/>
      <c r="Y16" s="280">
        <v>0</v>
      </c>
      <c r="Z16" s="261">
        <f>AR17/AS17*Y16*$C16</f>
        <v>0</v>
      </c>
      <c r="AA16" s="88">
        <f t="shared" ref="AA16:AA21" si="0">E16+H16+K16+N16+Q16+T16+W16+Z16</f>
        <v>0</v>
      </c>
      <c r="AC16" s="2" t="s">
        <v>6</v>
      </c>
      <c r="AD16" s="265">
        <v>27000</v>
      </c>
      <c r="AE16" s="266">
        <v>12</v>
      </c>
      <c r="AF16" s="265">
        <f>AD16*1.03</f>
        <v>27810</v>
      </c>
      <c r="AG16" s="266">
        <v>12</v>
      </c>
      <c r="AH16" s="265">
        <f>AF16*1.03</f>
        <v>28644.3</v>
      </c>
      <c r="AI16" s="266">
        <v>12</v>
      </c>
      <c r="AJ16" s="265">
        <f>AH16*1.03</f>
        <v>29503.629000000001</v>
      </c>
      <c r="AK16" s="266">
        <v>12</v>
      </c>
      <c r="AL16" s="265">
        <f>AJ16*1.03</f>
        <v>30388.737870000001</v>
      </c>
      <c r="AM16" s="266">
        <v>12</v>
      </c>
      <c r="AN16" s="265">
        <f>AL16*1.03</f>
        <v>31300.400006100001</v>
      </c>
      <c r="AO16" s="266">
        <v>12</v>
      </c>
      <c r="AP16" s="265">
        <f>AN16*1.03</f>
        <v>32239.412006283001</v>
      </c>
      <c r="AQ16" s="266">
        <v>12</v>
      </c>
      <c r="AR16" s="265">
        <f>AP16*1.03</f>
        <v>33206.594366471494</v>
      </c>
      <c r="AS16" s="266">
        <v>12</v>
      </c>
    </row>
    <row r="17" spans="1:45" s="1" customFormat="1" ht="15">
      <c r="A17" s="72"/>
      <c r="B17" s="76" t="s">
        <v>182</v>
      </c>
      <c r="C17" s="271">
        <v>0</v>
      </c>
      <c r="D17" s="271">
        <v>0</v>
      </c>
      <c r="E17" s="264">
        <f>AD18/AE18*D17*$C17</f>
        <v>0</v>
      </c>
      <c r="F17" s="264"/>
      <c r="G17" s="271">
        <v>0</v>
      </c>
      <c r="H17" s="264">
        <f>AF18/AG18*G17*$C17</f>
        <v>0</v>
      </c>
      <c r="I17" s="264"/>
      <c r="J17" s="271">
        <v>0</v>
      </c>
      <c r="K17" s="264">
        <f>AH18/AI18*J17*$C17</f>
        <v>0</v>
      </c>
      <c r="L17" s="264"/>
      <c r="M17" s="271">
        <v>0</v>
      </c>
      <c r="N17" s="264">
        <f>AJ18/AK18*M17*$C17</f>
        <v>0</v>
      </c>
      <c r="O17" s="264"/>
      <c r="P17" s="271">
        <v>0</v>
      </c>
      <c r="Q17" s="264">
        <f>AL18/AM18*P17*$C17</f>
        <v>0</v>
      </c>
      <c r="R17" s="264"/>
      <c r="S17" s="280">
        <v>0</v>
      </c>
      <c r="T17" s="261">
        <f>AN18/AO18*S17*$C17</f>
        <v>0</v>
      </c>
      <c r="U17" s="264"/>
      <c r="V17" s="280">
        <v>0</v>
      </c>
      <c r="W17" s="261">
        <f>AP18/AQ18*V17*$C17</f>
        <v>0</v>
      </c>
      <c r="X17" s="264"/>
      <c r="Y17" s="280">
        <v>0</v>
      </c>
      <c r="Z17" s="261">
        <f>AR18/AS18*Y17*$C17</f>
        <v>0</v>
      </c>
      <c r="AA17" s="88">
        <f t="shared" si="0"/>
        <v>0</v>
      </c>
      <c r="AC17" s="2" t="s">
        <v>7</v>
      </c>
      <c r="AD17" s="265">
        <v>50000</v>
      </c>
      <c r="AE17" s="2">
        <v>12</v>
      </c>
      <c r="AF17" s="265">
        <f>AD17*1.03</f>
        <v>51500</v>
      </c>
      <c r="AG17" s="2">
        <v>12</v>
      </c>
      <c r="AH17" s="265">
        <f>AF17*1.03</f>
        <v>53045</v>
      </c>
      <c r="AI17" s="2">
        <v>12</v>
      </c>
      <c r="AJ17" s="265">
        <f>AH17*1.03</f>
        <v>54636.35</v>
      </c>
      <c r="AK17" s="2">
        <v>12</v>
      </c>
      <c r="AL17" s="265">
        <f>AJ17*1.03</f>
        <v>56275.440499999997</v>
      </c>
      <c r="AM17" s="266">
        <v>12</v>
      </c>
      <c r="AN17" s="265">
        <f>AL17*1.03</f>
        <v>57963.703714999996</v>
      </c>
      <c r="AO17" s="266">
        <v>12</v>
      </c>
      <c r="AP17" s="265">
        <f>AN17*1.03</f>
        <v>59702.614826450001</v>
      </c>
      <c r="AQ17" s="266">
        <v>12</v>
      </c>
      <c r="AR17" s="265">
        <f>AP17*1.03</f>
        <v>61493.693271243501</v>
      </c>
      <c r="AS17" s="266">
        <v>12</v>
      </c>
    </row>
    <row r="18" spans="1:45" s="1" customFormat="1" ht="15">
      <c r="A18" s="72"/>
      <c r="B18" s="74" t="s">
        <v>9</v>
      </c>
      <c r="C18" s="271">
        <v>0</v>
      </c>
      <c r="D18" s="271">
        <v>0</v>
      </c>
      <c r="E18" s="264">
        <f>AD19/AE19*D18*$C18</f>
        <v>0</v>
      </c>
      <c r="F18" s="264"/>
      <c r="G18" s="271">
        <v>0</v>
      </c>
      <c r="H18" s="264">
        <f>AF19/AG19*G18*$C18</f>
        <v>0</v>
      </c>
      <c r="I18" s="264"/>
      <c r="J18" s="271">
        <v>0</v>
      </c>
      <c r="K18" s="264">
        <f>AH19/AI19*J18*$C18</f>
        <v>0</v>
      </c>
      <c r="L18" s="264"/>
      <c r="M18" s="271">
        <v>0</v>
      </c>
      <c r="N18" s="264">
        <f>AJ19/AK19*M18*$C18</f>
        <v>0</v>
      </c>
      <c r="O18" s="264"/>
      <c r="P18" s="271">
        <v>0</v>
      </c>
      <c r="Q18" s="264">
        <f>AL19/AM19*P18*$C18</f>
        <v>0</v>
      </c>
      <c r="R18" s="264"/>
      <c r="S18" s="280">
        <v>0</v>
      </c>
      <c r="T18" s="261">
        <f>AN19/AO19*S18*$C18</f>
        <v>0</v>
      </c>
      <c r="U18" s="264"/>
      <c r="V18" s="280">
        <v>0</v>
      </c>
      <c r="W18" s="261">
        <f>AP19/AQ19*V18*$C18</f>
        <v>0</v>
      </c>
      <c r="X18" s="264"/>
      <c r="Y18" s="280">
        <v>0</v>
      </c>
      <c r="Z18" s="261">
        <f>AR19/AS19*Y18*$C18</f>
        <v>0</v>
      </c>
      <c r="AA18" s="88">
        <f t="shared" si="0"/>
        <v>0</v>
      </c>
      <c r="AC18" s="2" t="s">
        <v>8</v>
      </c>
      <c r="AD18" s="265">
        <v>8000</v>
      </c>
      <c r="AE18" s="2">
        <v>12</v>
      </c>
      <c r="AF18" s="265">
        <f>AD18*1.03</f>
        <v>8240</v>
      </c>
      <c r="AG18" s="266">
        <v>12</v>
      </c>
      <c r="AH18" s="265">
        <f>AF18*1.03</f>
        <v>8487.2000000000007</v>
      </c>
      <c r="AI18" s="266">
        <v>12</v>
      </c>
      <c r="AJ18" s="265">
        <f>AH18*1.03</f>
        <v>8741.8160000000007</v>
      </c>
      <c r="AK18" s="266">
        <v>12</v>
      </c>
      <c r="AL18" s="265">
        <f>AJ18*1.03</f>
        <v>9004.0704800000003</v>
      </c>
      <c r="AM18" s="266">
        <v>12</v>
      </c>
      <c r="AN18" s="265">
        <f>AL18*1.03</f>
        <v>9274.1925944000013</v>
      </c>
      <c r="AO18" s="266">
        <v>12</v>
      </c>
      <c r="AP18" s="265">
        <f>AN18*1.03</f>
        <v>9552.4183722320013</v>
      </c>
      <c r="AQ18" s="266">
        <v>12</v>
      </c>
      <c r="AR18" s="265">
        <f>AP18*1.03</f>
        <v>9838.990923398962</v>
      </c>
      <c r="AS18" s="266">
        <v>12</v>
      </c>
    </row>
    <row r="19" spans="1:45" s="1" customFormat="1" ht="15">
      <c r="A19" s="72"/>
      <c r="B19" s="74" t="s">
        <v>10</v>
      </c>
      <c r="C19" s="272">
        <v>0</v>
      </c>
      <c r="D19" s="272">
        <v>0</v>
      </c>
      <c r="E19" s="89">
        <f>AD20/AE20*D19*$C19</f>
        <v>0</v>
      </c>
      <c r="F19" s="89"/>
      <c r="G19" s="272">
        <v>0</v>
      </c>
      <c r="H19" s="89">
        <f>AF20/AG20*G19*$C19</f>
        <v>0</v>
      </c>
      <c r="I19" s="89"/>
      <c r="J19" s="272">
        <v>0</v>
      </c>
      <c r="K19" s="89">
        <f>AH20/AI20*J19*$C19</f>
        <v>0</v>
      </c>
      <c r="L19" s="89"/>
      <c r="M19" s="272">
        <v>0</v>
      </c>
      <c r="N19" s="89">
        <f>AJ20/AK20*M19*$C19</f>
        <v>0</v>
      </c>
      <c r="O19" s="89"/>
      <c r="P19" s="272">
        <v>0</v>
      </c>
      <c r="Q19" s="89">
        <f>AL20/AM20*P19*$C19</f>
        <v>0</v>
      </c>
      <c r="R19" s="89"/>
      <c r="S19" s="281">
        <v>0</v>
      </c>
      <c r="T19" s="282">
        <f>AN20/AO20*S19*$C19</f>
        <v>0</v>
      </c>
      <c r="U19" s="89"/>
      <c r="V19" s="281">
        <v>0</v>
      </c>
      <c r="W19" s="282">
        <f>AP20/AQ20*V19*$C19</f>
        <v>0</v>
      </c>
      <c r="X19" s="89"/>
      <c r="Y19" s="281">
        <v>0</v>
      </c>
      <c r="Z19" s="282">
        <f>AR20/AS20*Y19*$C19</f>
        <v>0</v>
      </c>
      <c r="AA19" s="88">
        <f t="shared" si="0"/>
        <v>0</v>
      </c>
      <c r="AC19" s="2" t="s">
        <v>9</v>
      </c>
      <c r="AD19" s="265">
        <v>10000</v>
      </c>
      <c r="AE19" s="2">
        <v>12</v>
      </c>
      <c r="AF19" s="265">
        <f>AD19*1.03</f>
        <v>10300</v>
      </c>
      <c r="AG19" s="2">
        <v>12</v>
      </c>
      <c r="AH19" s="265">
        <f>AF19*1.03</f>
        <v>10609</v>
      </c>
      <c r="AI19" s="2">
        <v>12</v>
      </c>
      <c r="AJ19" s="265">
        <f>AH19*1.03</f>
        <v>10927.27</v>
      </c>
      <c r="AK19" s="2">
        <v>12</v>
      </c>
      <c r="AL19" s="265">
        <f>AJ19*1.03</f>
        <v>11255.088100000001</v>
      </c>
      <c r="AM19" s="266">
        <v>12</v>
      </c>
      <c r="AN19" s="265">
        <f>AL19*1.03</f>
        <v>11592.740743</v>
      </c>
      <c r="AO19" s="266">
        <v>12</v>
      </c>
      <c r="AP19" s="265">
        <f>AN19*1.03</f>
        <v>11940.52296529</v>
      </c>
      <c r="AQ19" s="266">
        <v>12</v>
      </c>
      <c r="AR19" s="265">
        <f>AP19*1.03</f>
        <v>12298.7386542487</v>
      </c>
      <c r="AS19" s="266">
        <v>12</v>
      </c>
    </row>
    <row r="20" spans="1:45" s="1" customFormat="1" ht="15">
      <c r="A20" s="72"/>
      <c r="B20" s="273"/>
      <c r="C20" s="283"/>
      <c r="D20" s="274"/>
      <c r="E20" s="90"/>
      <c r="F20" s="90"/>
      <c r="G20" s="274"/>
      <c r="H20" s="90"/>
      <c r="I20" s="90"/>
      <c r="J20" s="274" t="s">
        <v>186</v>
      </c>
      <c r="K20" s="90"/>
      <c r="L20" s="90"/>
      <c r="M20" s="274"/>
      <c r="N20" s="90"/>
      <c r="O20" s="90"/>
      <c r="P20" s="274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88"/>
      <c r="AC20" s="2" t="s">
        <v>10</v>
      </c>
      <c r="AD20" s="265">
        <v>10000</v>
      </c>
      <c r="AE20" s="2">
        <v>12</v>
      </c>
      <c r="AF20" s="265">
        <f>AD20*1.03</f>
        <v>10300</v>
      </c>
      <c r="AG20" s="266">
        <v>12</v>
      </c>
      <c r="AH20" s="265">
        <f>AF20*1.03</f>
        <v>10609</v>
      </c>
      <c r="AI20" s="266">
        <v>12</v>
      </c>
      <c r="AJ20" s="265">
        <f>AH20*1.03</f>
        <v>10927.27</v>
      </c>
      <c r="AK20" s="266">
        <v>12</v>
      </c>
      <c r="AL20" s="265">
        <f>AJ20*1.03</f>
        <v>11255.088100000001</v>
      </c>
      <c r="AM20" s="266">
        <v>12</v>
      </c>
      <c r="AN20" s="265">
        <f>AL20*1.03</f>
        <v>11592.740743</v>
      </c>
      <c r="AO20" s="266">
        <v>12</v>
      </c>
      <c r="AP20" s="265">
        <f>AN20*1.03</f>
        <v>11940.52296529</v>
      </c>
      <c r="AQ20" s="266">
        <v>12</v>
      </c>
      <c r="AR20" s="265">
        <f>AP20*1.03</f>
        <v>12298.7386542487</v>
      </c>
      <c r="AS20" s="266">
        <v>12</v>
      </c>
    </row>
    <row r="21" spans="1:45" s="1" customFormat="1" ht="15">
      <c r="A21" s="72"/>
      <c r="B21" s="74"/>
      <c r="C21" s="275" t="s">
        <v>187</v>
      </c>
      <c r="D21" s="69"/>
      <c r="E21" s="91">
        <f>SUM(E15:E19)</f>
        <v>0</v>
      </c>
      <c r="F21" s="91"/>
      <c r="G21" s="69"/>
      <c r="H21" s="91">
        <f>SUM(H15:H19)</f>
        <v>0</v>
      </c>
      <c r="I21" s="91"/>
      <c r="J21" s="69"/>
      <c r="K21" s="91">
        <f>SUM(K15:K19)</f>
        <v>0</v>
      </c>
      <c r="L21" s="91"/>
      <c r="M21" s="69"/>
      <c r="N21" s="91">
        <f>SUM(N15:N19)</f>
        <v>0</v>
      </c>
      <c r="O21" s="91"/>
      <c r="P21" s="69"/>
      <c r="Q21" s="91">
        <f>SUM(Q15:Q19)</f>
        <v>0</v>
      </c>
      <c r="R21" s="91"/>
      <c r="S21" s="91"/>
      <c r="T21" s="91">
        <f t="shared" ref="T21:Z21" si="1">SUM(T15:T19)</f>
        <v>0</v>
      </c>
      <c r="U21" s="91"/>
      <c r="V21" s="91"/>
      <c r="W21" s="91">
        <f t="shared" si="1"/>
        <v>0</v>
      </c>
      <c r="X21" s="91"/>
      <c r="Y21" s="91"/>
      <c r="Z21" s="91">
        <f t="shared" si="1"/>
        <v>0</v>
      </c>
      <c r="AA21" s="88">
        <f t="shared" si="0"/>
        <v>0</v>
      </c>
    </row>
    <row r="22" spans="1:45" s="1" customFormat="1" ht="15">
      <c r="A22" s="72"/>
      <c r="B22" s="74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8"/>
    </row>
    <row r="23" spans="1:45" s="1" customFormat="1" ht="15">
      <c r="A23" s="72"/>
      <c r="B23" s="74"/>
      <c r="C23" s="275" t="s">
        <v>188</v>
      </c>
      <c r="D23" s="69"/>
      <c r="E23" s="91">
        <f>E12+E21</f>
        <v>0</v>
      </c>
      <c r="F23" s="91"/>
      <c r="G23" s="91"/>
      <c r="H23" s="91">
        <f>H12+H21</f>
        <v>0</v>
      </c>
      <c r="I23" s="91"/>
      <c r="J23" s="91"/>
      <c r="K23" s="91">
        <f>K12+K21</f>
        <v>0</v>
      </c>
      <c r="L23" s="91"/>
      <c r="M23" s="91"/>
      <c r="N23" s="91">
        <f>N12+N21</f>
        <v>0</v>
      </c>
      <c r="O23" s="91"/>
      <c r="P23" s="91"/>
      <c r="Q23" s="91">
        <f>Q12+Q21</f>
        <v>0</v>
      </c>
      <c r="R23" s="91"/>
      <c r="S23" s="91"/>
      <c r="T23" s="91">
        <f>T12+T21</f>
        <v>0</v>
      </c>
      <c r="U23" s="91"/>
      <c r="V23" s="91"/>
      <c r="W23" s="91">
        <f>W12+W21</f>
        <v>0</v>
      </c>
      <c r="X23" s="91"/>
      <c r="Y23" s="91"/>
      <c r="Z23" s="91">
        <f>Z12+Z21</f>
        <v>0</v>
      </c>
      <c r="AA23" s="88">
        <f>E23+H23+K23+N23+Q23+T23+W23+Z23</f>
        <v>0</v>
      </c>
    </row>
    <row r="24" spans="1:45" s="1" customFormat="1" ht="15">
      <c r="A24" s="72"/>
      <c r="B24" s="74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8"/>
    </row>
    <row r="25" spans="1:45" s="1" customFormat="1" ht="15">
      <c r="A25" s="72"/>
      <c r="B25" s="74"/>
      <c r="C25" s="268" t="s">
        <v>12</v>
      </c>
      <c r="D25" s="87"/>
      <c r="E25" s="258" t="s">
        <v>189</v>
      </c>
      <c r="F25" s="258"/>
      <c r="G25" s="87"/>
      <c r="H25" s="258" t="s">
        <v>189</v>
      </c>
      <c r="I25" s="258"/>
      <c r="J25" s="87"/>
      <c r="K25" s="258" t="s">
        <v>189</v>
      </c>
      <c r="L25" s="258"/>
      <c r="M25" s="87"/>
      <c r="N25" s="258" t="s">
        <v>189</v>
      </c>
      <c r="O25" s="258"/>
      <c r="P25" s="87"/>
      <c r="Q25" s="258" t="s">
        <v>189</v>
      </c>
      <c r="R25" s="258"/>
      <c r="S25" s="258"/>
      <c r="T25" s="258" t="s">
        <v>189</v>
      </c>
      <c r="U25" s="258"/>
      <c r="V25" s="258"/>
      <c r="W25" s="258" t="s">
        <v>189</v>
      </c>
      <c r="X25" s="258"/>
      <c r="Y25" s="258"/>
      <c r="Z25" s="258" t="s">
        <v>189</v>
      </c>
      <c r="AA25" s="276"/>
    </row>
    <row r="26" spans="1:45" s="1" customFormat="1" ht="15">
      <c r="A26" s="277" t="s">
        <v>205</v>
      </c>
      <c r="B26" s="74" t="s">
        <v>11</v>
      </c>
      <c r="C26" s="278">
        <f>'Effort and OPS Salary'!C28</f>
        <v>0</v>
      </c>
      <c r="D26" s="87"/>
      <c r="E26" s="96" t="str">
        <f>IFERROR(ROUND(MIN(IF(CAP="none",1000000,CAP*D12/$C$9*C$8),B12*D12/$C$9*C$8),0)*(1+B$7)*Budget!C11,"$0")</f>
        <v>$0</v>
      </c>
      <c r="F26" s="96"/>
      <c r="G26" s="96"/>
      <c r="H26" s="96" t="str">
        <f>IFERROR(ROUND(MIN(IF(CAP="none",1000000,CAP*G12/$F$9*F$8),B12*G12/$F$9*F$8),0)*(1+B$7)^2*Budget!C11,"$0")</f>
        <v>$0</v>
      </c>
      <c r="I26" s="96"/>
      <c r="J26" s="96"/>
      <c r="K26" s="96" t="str">
        <f>IFERROR(ROUND(MIN(IF(CAP="none",1000000,CAP*J12/$I$9*I$8),B12*J12/$I$9*I$8),0)*(1+B$7)^3*Budget!C11,"$0")</f>
        <v>$0</v>
      </c>
      <c r="L26" s="96"/>
      <c r="M26" s="96"/>
      <c r="N26" s="452" t="str">
        <f>IFERROR(ROUND(MIN(IF(CAP="none",1000000,CAP*M12/$L$9*L$8),B12*M12/$L$9*L$8),0)*(1+B$7)^4*Budget!C11,"$0")</f>
        <v>$0</v>
      </c>
      <c r="O26" s="96"/>
      <c r="P26" s="96"/>
      <c r="Q26" s="96" t="str">
        <f>IFERROR(ROUND(MIN(IF(CAP="none",1000000,CAP*P12/$O$9*O$8),B12*P12/$O$9*O$8),0)*(1+B$7)^5*Budget!C11,"$0")</f>
        <v>$0</v>
      </c>
      <c r="R26" s="96"/>
      <c r="S26" s="96"/>
      <c r="T26" s="96" t="str">
        <f>IFERROR(ROUND(MIN(IF(CAP="none",1000000,CAP*S12/$R$9*R$8),B12*S12/$R$9*R$8),0)*(1+B$7)^6*Budget!C11,"$0")</f>
        <v>$0</v>
      </c>
      <c r="U26" s="96"/>
      <c r="V26" s="96"/>
      <c r="W26" s="96" t="str">
        <f>IFERROR(ROUND(MIN(IF(CAP="none",1000000,CAP*V12/$U$9*U$8),B12*V12/$U$9*U$8),0)*(1+B$7)^7*Budget!C11,"$0")</f>
        <v>$0</v>
      </c>
      <c r="X26" s="96"/>
      <c r="Y26" s="96"/>
      <c r="Z26" s="96" t="str">
        <f>IFERROR(ROUND(MIN(IF(CAP="none",1000000,CAP*Y12/$X$9*X$8),B12*Y12/$X$9*X$8),0)*(1+B$7)^8*Budget!C11,"$0")</f>
        <v>$0</v>
      </c>
      <c r="AA26" s="88">
        <f>E26+H26+K26+N26+Q26+T26+W26+Z26</f>
        <v>0</v>
      </c>
    </row>
    <row r="27" spans="1:45" s="1" customFormat="1" ht="15">
      <c r="A27" s="72"/>
      <c r="B27" s="74" t="s">
        <v>6</v>
      </c>
      <c r="C27" s="278">
        <f>'Effort and OPS Salary'!C34</f>
        <v>0</v>
      </c>
      <c r="D27" s="87"/>
      <c r="E27" s="96">
        <f>E15*$C27</f>
        <v>0</v>
      </c>
      <c r="F27" s="96"/>
      <c r="G27" s="96"/>
      <c r="H27" s="96">
        <f>H15*$C27</f>
        <v>0</v>
      </c>
      <c r="I27" s="96"/>
      <c r="J27" s="96"/>
      <c r="K27" s="96">
        <f>K15*$C27</f>
        <v>0</v>
      </c>
      <c r="L27" s="96"/>
      <c r="M27" s="96"/>
      <c r="N27" s="96">
        <f>N15*$C27</f>
        <v>0</v>
      </c>
      <c r="O27" s="96"/>
      <c r="P27" s="96"/>
      <c r="Q27" s="96">
        <f>Q15*$C27</f>
        <v>0</v>
      </c>
      <c r="R27" s="264"/>
      <c r="S27" s="264"/>
      <c r="T27" s="264">
        <f>T15*$C27</f>
        <v>0</v>
      </c>
      <c r="U27" s="264"/>
      <c r="V27" s="264"/>
      <c r="W27" s="264">
        <f>W15*$C27</f>
        <v>0</v>
      </c>
      <c r="X27" s="264"/>
      <c r="Y27" s="264"/>
      <c r="Z27" s="264">
        <f>Z15*$C27</f>
        <v>0</v>
      </c>
      <c r="AA27" s="88">
        <f t="shared" ref="AA27:AA32" si="2">E27+H27+K27+N27+Q27+T27+W27+Z27</f>
        <v>0</v>
      </c>
    </row>
    <row r="28" spans="1:45" s="1" customFormat="1" ht="15">
      <c r="A28" s="72"/>
      <c r="B28" s="74" t="s">
        <v>7</v>
      </c>
      <c r="C28" s="278">
        <f>'Effort and OPS Salary'!C33</f>
        <v>0</v>
      </c>
      <c r="D28" s="87"/>
      <c r="E28" s="96">
        <f>E16*$C28</f>
        <v>0</v>
      </c>
      <c r="F28" s="96"/>
      <c r="G28" s="96"/>
      <c r="H28" s="96">
        <f>H16*$C28</f>
        <v>0</v>
      </c>
      <c r="I28" s="96"/>
      <c r="J28" s="96"/>
      <c r="K28" s="96">
        <f>K16*$C28</f>
        <v>0</v>
      </c>
      <c r="L28" s="96"/>
      <c r="M28" s="96"/>
      <c r="N28" s="96">
        <f>N16*$C28</f>
        <v>0</v>
      </c>
      <c r="O28" s="96"/>
      <c r="P28" s="96"/>
      <c r="Q28" s="96">
        <f>Q16*$C28</f>
        <v>0</v>
      </c>
      <c r="R28" s="264"/>
      <c r="S28" s="264"/>
      <c r="T28" s="264">
        <f>T16*$C28</f>
        <v>0</v>
      </c>
      <c r="U28" s="264"/>
      <c r="V28" s="264"/>
      <c r="W28" s="264">
        <f>W16*$C28</f>
        <v>0</v>
      </c>
      <c r="X28" s="264"/>
      <c r="Y28" s="264"/>
      <c r="Z28" s="264">
        <f>Z16*$C28</f>
        <v>0</v>
      </c>
      <c r="AA28" s="88">
        <f t="shared" si="2"/>
        <v>0</v>
      </c>
    </row>
    <row r="29" spans="1:45" s="1" customFormat="1" ht="15">
      <c r="A29" s="72"/>
      <c r="B29" s="74" t="s">
        <v>182</v>
      </c>
      <c r="C29" s="278">
        <f>'Effort and OPS Salary'!C36</f>
        <v>0</v>
      </c>
      <c r="D29" s="87"/>
      <c r="E29" s="96">
        <f>E17*$C29</f>
        <v>0</v>
      </c>
      <c r="F29" s="96"/>
      <c r="G29" s="96"/>
      <c r="H29" s="96">
        <f>H17*$C29</f>
        <v>0</v>
      </c>
      <c r="I29" s="96"/>
      <c r="J29" s="96"/>
      <c r="K29" s="96">
        <f>K17*$C29</f>
        <v>0</v>
      </c>
      <c r="L29" s="96"/>
      <c r="M29" s="96"/>
      <c r="N29" s="96">
        <f>N17*$C29</f>
        <v>0</v>
      </c>
      <c r="O29" s="96"/>
      <c r="P29" s="96"/>
      <c r="Q29" s="96">
        <f>Q17*$C29</f>
        <v>0</v>
      </c>
      <c r="R29" s="264"/>
      <c r="S29" s="264"/>
      <c r="T29" s="264">
        <f>T17*$C29</f>
        <v>0</v>
      </c>
      <c r="U29" s="264"/>
      <c r="V29" s="264"/>
      <c r="W29" s="264">
        <f>W17*$C29</f>
        <v>0</v>
      </c>
      <c r="X29" s="264"/>
      <c r="Y29" s="264"/>
      <c r="Z29" s="264">
        <f>Z17*$C29</f>
        <v>0</v>
      </c>
      <c r="AA29" s="88">
        <f t="shared" si="2"/>
        <v>0</v>
      </c>
    </row>
    <row r="30" spans="1:45" s="1" customFormat="1" ht="15">
      <c r="A30" s="72"/>
      <c r="B30" s="74" t="s">
        <v>9</v>
      </c>
      <c r="C30" s="278">
        <f>'Effort and OPS Salary'!C30</f>
        <v>0</v>
      </c>
      <c r="D30" s="87"/>
      <c r="E30" s="96">
        <f>E18*$C30</f>
        <v>0</v>
      </c>
      <c r="F30" s="96"/>
      <c r="G30" s="96"/>
      <c r="H30" s="96">
        <f>H18*$C30</f>
        <v>0</v>
      </c>
      <c r="I30" s="96"/>
      <c r="J30" s="96"/>
      <c r="K30" s="96">
        <f>K18*$C30</f>
        <v>0</v>
      </c>
      <c r="L30" s="96"/>
      <c r="M30" s="96"/>
      <c r="N30" s="96">
        <f>N18*$C30</f>
        <v>0</v>
      </c>
      <c r="O30" s="96"/>
      <c r="P30" s="96"/>
      <c r="Q30" s="96">
        <f>Q18*$C30</f>
        <v>0</v>
      </c>
      <c r="R30" s="264"/>
      <c r="S30" s="264"/>
      <c r="T30" s="264">
        <f>T18*$C30</f>
        <v>0</v>
      </c>
      <c r="U30" s="264"/>
      <c r="V30" s="264"/>
      <c r="W30" s="264">
        <f>W18*$C30</f>
        <v>0</v>
      </c>
      <c r="X30" s="264"/>
      <c r="Y30" s="264"/>
      <c r="Z30" s="264">
        <f>Z18*$C30</f>
        <v>0</v>
      </c>
      <c r="AA30" s="88">
        <f t="shared" si="2"/>
        <v>0</v>
      </c>
    </row>
    <row r="31" spans="1:45" s="1" customFormat="1" ht="15">
      <c r="A31" s="72"/>
      <c r="B31" s="74" t="s">
        <v>10</v>
      </c>
      <c r="C31" s="278">
        <f>'Effort and OPS Salary'!C31</f>
        <v>0</v>
      </c>
      <c r="D31" s="87"/>
      <c r="E31" s="97">
        <f>E19*$C31</f>
        <v>0</v>
      </c>
      <c r="F31" s="97"/>
      <c r="G31" s="97"/>
      <c r="H31" s="97">
        <f>H19*$C31</f>
        <v>0</v>
      </c>
      <c r="I31" s="97"/>
      <c r="J31" s="97"/>
      <c r="K31" s="97">
        <f>K19*$C31</f>
        <v>0</v>
      </c>
      <c r="L31" s="97"/>
      <c r="M31" s="97"/>
      <c r="N31" s="97">
        <f>N19*$C31</f>
        <v>0</v>
      </c>
      <c r="O31" s="97"/>
      <c r="P31" s="97"/>
      <c r="Q31" s="97">
        <f>Q19*$C31</f>
        <v>0</v>
      </c>
      <c r="R31" s="89"/>
      <c r="S31" s="89"/>
      <c r="T31" s="89">
        <f>T19*$C31</f>
        <v>0</v>
      </c>
      <c r="U31" s="89"/>
      <c r="V31" s="89"/>
      <c r="W31" s="89">
        <f>W19*$C31</f>
        <v>0</v>
      </c>
      <c r="X31" s="89"/>
      <c r="Y31" s="89"/>
      <c r="Z31" s="89">
        <f>Z19*$C31</f>
        <v>0</v>
      </c>
      <c r="AA31" s="88">
        <f t="shared" si="2"/>
        <v>0</v>
      </c>
    </row>
    <row r="32" spans="1:45" s="1" customFormat="1" ht="15">
      <c r="A32" s="72"/>
      <c r="B32" s="74"/>
      <c r="C32" s="275" t="s">
        <v>190</v>
      </c>
      <c r="D32" s="87"/>
      <c r="E32" s="91">
        <f>SUM(E26:E31)</f>
        <v>0</v>
      </c>
      <c r="F32" s="91"/>
      <c r="G32" s="69"/>
      <c r="H32" s="91">
        <f>SUM(H26:H31)</f>
        <v>0</v>
      </c>
      <c r="I32" s="91"/>
      <c r="J32" s="69"/>
      <c r="K32" s="91">
        <f>SUM(K26:K31)</f>
        <v>0</v>
      </c>
      <c r="L32" s="91"/>
      <c r="M32" s="69"/>
      <c r="N32" s="91">
        <f>SUM(N26:N31)</f>
        <v>0</v>
      </c>
      <c r="O32" s="91"/>
      <c r="P32" s="69"/>
      <c r="Q32" s="91">
        <f>SUM(Q26:Q31)</f>
        <v>0</v>
      </c>
      <c r="R32" s="91"/>
      <c r="S32" s="91"/>
      <c r="T32" s="91">
        <f t="shared" ref="T32:Z32" si="3">SUM(T26:T31)</f>
        <v>0</v>
      </c>
      <c r="U32" s="91"/>
      <c r="V32" s="91"/>
      <c r="W32" s="91">
        <f t="shared" si="3"/>
        <v>0</v>
      </c>
      <c r="X32" s="91"/>
      <c r="Y32" s="91"/>
      <c r="Z32" s="91">
        <f t="shared" si="3"/>
        <v>0</v>
      </c>
      <c r="AA32" s="450">
        <f t="shared" si="2"/>
        <v>0</v>
      </c>
    </row>
    <row r="33" spans="1:28" s="1" customFormat="1" ht="15">
      <c r="A33" s="72"/>
      <c r="B33" s="74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8"/>
    </row>
    <row r="34" spans="1:28" s="1" customFormat="1" ht="15">
      <c r="A34" s="72"/>
      <c r="B34" s="74"/>
      <c r="C34" s="92" t="s">
        <v>191</v>
      </c>
      <c r="D34" s="93"/>
      <c r="E34" s="94">
        <f>E23+E32</f>
        <v>0</v>
      </c>
      <c r="F34" s="94"/>
      <c r="G34" s="94"/>
      <c r="H34" s="94">
        <f>H23+H32</f>
        <v>0</v>
      </c>
      <c r="I34" s="94"/>
      <c r="J34" s="93"/>
      <c r="K34" s="94">
        <f>K23+K32</f>
        <v>0</v>
      </c>
      <c r="L34" s="94"/>
      <c r="M34" s="94"/>
      <c r="N34" s="94">
        <f>N23+N32</f>
        <v>0</v>
      </c>
      <c r="O34" s="94"/>
      <c r="P34" s="94"/>
      <c r="Q34" s="94">
        <f>Q23+Q32</f>
        <v>0</v>
      </c>
      <c r="R34" s="94"/>
      <c r="S34" s="94"/>
      <c r="T34" s="94">
        <f>T23+T32</f>
        <v>0</v>
      </c>
      <c r="U34" s="94"/>
      <c r="V34" s="94"/>
      <c r="W34" s="94">
        <f>W23+W32</f>
        <v>0</v>
      </c>
      <c r="X34" s="94"/>
      <c r="Y34" s="94"/>
      <c r="Z34" s="94">
        <f>Z23+Z32</f>
        <v>0</v>
      </c>
      <c r="AA34" s="88">
        <f>E34+H34+K34+N34+Q34+T34+W34+Z34</f>
        <v>0</v>
      </c>
    </row>
    <row r="35" spans="1:28" s="1" customFormat="1" ht="15">
      <c r="A35" s="72"/>
      <c r="B35" s="74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8"/>
    </row>
    <row r="36" spans="1:28" s="1" customFormat="1" ht="15">
      <c r="A36" s="72"/>
      <c r="B36" s="74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95"/>
    </row>
    <row r="37" spans="1:28" s="1" customFormat="1" ht="15">
      <c r="A37" s="72" t="s">
        <v>25</v>
      </c>
      <c r="B37" s="72"/>
      <c r="C37" s="74" t="str">
        <f>IF(Budget!F36&lt;&gt;"",Budget!F36,"")</f>
        <v>Materials &amp; Supplies</v>
      </c>
      <c r="D37" s="87"/>
      <c r="E37" s="96">
        <v>0</v>
      </c>
      <c r="F37" s="96"/>
      <c r="G37" s="96"/>
      <c r="H37" s="96">
        <v>0</v>
      </c>
      <c r="I37" s="96"/>
      <c r="J37" s="96"/>
      <c r="K37" s="96">
        <v>0</v>
      </c>
      <c r="L37" s="96"/>
      <c r="M37" s="96"/>
      <c r="N37" s="96">
        <v>0</v>
      </c>
      <c r="O37" s="96"/>
      <c r="P37" s="96"/>
      <c r="Q37" s="96">
        <v>0</v>
      </c>
      <c r="R37" s="96"/>
      <c r="S37" s="96"/>
      <c r="T37" s="96">
        <v>0</v>
      </c>
      <c r="U37" s="96"/>
      <c r="V37" s="96"/>
      <c r="W37" s="96">
        <v>0</v>
      </c>
      <c r="X37" s="96"/>
      <c r="Y37" s="96"/>
      <c r="Z37" s="96">
        <v>0</v>
      </c>
      <c r="AA37" s="88">
        <f>E37+H37+K37+N37+Q37+T37+W37+Z37</f>
        <v>0</v>
      </c>
    </row>
    <row r="38" spans="1:28" s="1" customFormat="1" ht="15">
      <c r="A38" s="72"/>
      <c r="B38" s="72"/>
      <c r="C38" s="74" t="str">
        <f>IF(Budget!F37&lt;&gt;"",Budget!F37,"")</f>
        <v>Other Expenses</v>
      </c>
      <c r="D38" s="87"/>
      <c r="E38" s="96">
        <v>0</v>
      </c>
      <c r="F38" s="96"/>
      <c r="G38" s="96"/>
      <c r="H38" s="96">
        <v>0</v>
      </c>
      <c r="I38" s="96"/>
      <c r="J38" s="96"/>
      <c r="K38" s="96">
        <v>0</v>
      </c>
      <c r="L38" s="96"/>
      <c r="M38" s="96"/>
      <c r="N38" s="96">
        <v>0</v>
      </c>
      <c r="O38" s="96"/>
      <c r="P38" s="96"/>
      <c r="Q38" s="96">
        <v>0</v>
      </c>
      <c r="R38" s="96"/>
      <c r="S38" s="96"/>
      <c r="T38" s="96">
        <v>0</v>
      </c>
      <c r="U38" s="96"/>
      <c r="V38" s="96"/>
      <c r="W38" s="96">
        <v>0</v>
      </c>
      <c r="X38" s="96"/>
      <c r="Y38" s="96"/>
      <c r="Z38" s="96">
        <v>0</v>
      </c>
      <c r="AA38" s="88">
        <f t="shared" ref="AA38:AA47" si="4">E38+H38+K38+N38+Q38+T38+W38+Z38</f>
        <v>0</v>
      </c>
    </row>
    <row r="39" spans="1:28" s="1" customFormat="1" ht="15">
      <c r="A39" s="72"/>
      <c r="B39" s="72"/>
      <c r="C39" s="74" t="str">
        <f>IF(Budget!F38&lt;&gt;"",Budget!F38,"")</f>
        <v>Domestic Travel</v>
      </c>
      <c r="D39" s="87"/>
      <c r="E39" s="96">
        <v>0</v>
      </c>
      <c r="F39" s="96"/>
      <c r="G39" s="96"/>
      <c r="H39" s="96">
        <v>0</v>
      </c>
      <c r="I39" s="96"/>
      <c r="J39" s="96"/>
      <c r="K39" s="96">
        <v>0</v>
      </c>
      <c r="L39" s="96"/>
      <c r="M39" s="96"/>
      <c r="N39" s="96">
        <v>0</v>
      </c>
      <c r="O39" s="96"/>
      <c r="P39" s="96"/>
      <c r="Q39" s="96">
        <v>0</v>
      </c>
      <c r="R39" s="96"/>
      <c r="S39" s="96"/>
      <c r="T39" s="96">
        <v>0</v>
      </c>
      <c r="U39" s="96"/>
      <c r="V39" s="96"/>
      <c r="W39" s="96">
        <v>0</v>
      </c>
      <c r="X39" s="96"/>
      <c r="Y39" s="96"/>
      <c r="Z39" s="96">
        <v>0</v>
      </c>
      <c r="AA39" s="88">
        <f t="shared" si="4"/>
        <v>0</v>
      </c>
    </row>
    <row r="40" spans="1:28" s="1" customFormat="1" ht="15">
      <c r="A40" s="72"/>
      <c r="B40" s="72"/>
      <c r="C40" s="74" t="str">
        <f>IF(Budget!F39&lt;&gt;"",Budget!F39,"")</f>
        <v>Publication Costs</v>
      </c>
      <c r="D40" s="87"/>
      <c r="E40" s="96">
        <v>0</v>
      </c>
      <c r="F40" s="96"/>
      <c r="G40" s="96"/>
      <c r="H40" s="96">
        <v>0</v>
      </c>
      <c r="I40" s="96"/>
      <c r="J40" s="96"/>
      <c r="K40" s="96">
        <v>0</v>
      </c>
      <c r="L40" s="96"/>
      <c r="M40" s="96"/>
      <c r="N40" s="96">
        <v>0</v>
      </c>
      <c r="O40" s="96"/>
      <c r="P40" s="96"/>
      <c r="Q40" s="96">
        <v>0</v>
      </c>
      <c r="R40" s="96"/>
      <c r="S40" s="96"/>
      <c r="T40" s="96">
        <v>0</v>
      </c>
      <c r="U40" s="96"/>
      <c r="V40" s="96"/>
      <c r="W40" s="96">
        <v>0</v>
      </c>
      <c r="X40" s="96"/>
      <c r="Y40" s="96"/>
      <c r="Z40" s="96">
        <v>0</v>
      </c>
      <c r="AA40" s="88">
        <f t="shared" si="4"/>
        <v>0</v>
      </c>
    </row>
    <row r="41" spans="1:28" s="1" customFormat="1" ht="15">
      <c r="A41" s="72"/>
      <c r="B41" s="72"/>
      <c r="C41" s="74" t="str">
        <f>IF(Budget!F40&lt;&gt;"",Budget!F40,"")</f>
        <v>Animal</v>
      </c>
      <c r="D41" s="87"/>
      <c r="E41" s="96">
        <v>0</v>
      </c>
      <c r="F41" s="96"/>
      <c r="G41" s="96"/>
      <c r="H41" s="96">
        <v>0</v>
      </c>
      <c r="I41" s="96"/>
      <c r="J41" s="96"/>
      <c r="K41" s="96">
        <v>0</v>
      </c>
      <c r="L41" s="96"/>
      <c r="M41" s="96"/>
      <c r="N41" s="96">
        <v>0</v>
      </c>
      <c r="O41" s="96"/>
      <c r="P41" s="96"/>
      <c r="Q41" s="96">
        <v>0</v>
      </c>
      <c r="R41" s="96"/>
      <c r="S41" s="96"/>
      <c r="T41" s="96">
        <v>0</v>
      </c>
      <c r="U41" s="96"/>
      <c r="V41" s="96"/>
      <c r="W41" s="96">
        <v>0</v>
      </c>
      <c r="X41" s="96"/>
      <c r="Y41" s="96"/>
      <c r="Z41" s="96">
        <v>0</v>
      </c>
      <c r="AA41" s="88">
        <f t="shared" si="4"/>
        <v>0</v>
      </c>
    </row>
    <row r="42" spans="1:28" s="1" customFormat="1" ht="15" hidden="1" outlineLevel="1">
      <c r="A42" s="72"/>
      <c r="B42" s="72"/>
      <c r="C42" s="74" t="str">
        <f>IF(Budget!F41&lt;&gt;"",Budget!F41,"")</f>
        <v/>
      </c>
      <c r="D42" s="87"/>
      <c r="E42" s="96">
        <v>0</v>
      </c>
      <c r="F42" s="96"/>
      <c r="G42" s="96"/>
      <c r="H42" s="96">
        <v>0</v>
      </c>
      <c r="I42" s="96"/>
      <c r="J42" s="96"/>
      <c r="K42" s="96">
        <v>0</v>
      </c>
      <c r="L42" s="96"/>
      <c r="M42" s="96"/>
      <c r="N42" s="96">
        <v>0</v>
      </c>
      <c r="O42" s="96"/>
      <c r="P42" s="96"/>
      <c r="Q42" s="96">
        <v>0</v>
      </c>
      <c r="R42" s="96"/>
      <c r="S42" s="96"/>
      <c r="T42" s="96">
        <v>0</v>
      </c>
      <c r="U42" s="96"/>
      <c r="V42" s="96"/>
      <c r="W42" s="96">
        <v>0</v>
      </c>
      <c r="X42" s="96"/>
      <c r="Y42" s="96"/>
      <c r="Z42" s="96">
        <v>0</v>
      </c>
      <c r="AA42" s="88">
        <f t="shared" si="4"/>
        <v>0</v>
      </c>
    </row>
    <row r="43" spans="1:28" s="1" customFormat="1" ht="15" hidden="1" outlineLevel="1">
      <c r="A43" s="72"/>
      <c r="B43" s="72"/>
      <c r="C43" s="74" t="str">
        <f>IF(Budget!F42&lt;&gt;"",Budget!F42,"")</f>
        <v/>
      </c>
      <c r="D43" s="87"/>
      <c r="E43" s="96">
        <v>0</v>
      </c>
      <c r="F43" s="96"/>
      <c r="G43" s="96"/>
      <c r="H43" s="96">
        <v>0</v>
      </c>
      <c r="I43" s="96"/>
      <c r="J43" s="96"/>
      <c r="K43" s="96">
        <v>0</v>
      </c>
      <c r="L43" s="96"/>
      <c r="M43" s="96"/>
      <c r="N43" s="96">
        <v>0</v>
      </c>
      <c r="O43" s="96"/>
      <c r="P43" s="96"/>
      <c r="Q43" s="96">
        <v>0</v>
      </c>
      <c r="R43" s="96"/>
      <c r="S43" s="96"/>
      <c r="T43" s="96">
        <v>0</v>
      </c>
      <c r="U43" s="96"/>
      <c r="V43" s="96"/>
      <c r="W43" s="96">
        <v>0</v>
      </c>
      <c r="X43" s="96"/>
      <c r="Y43" s="96"/>
      <c r="Z43" s="96">
        <v>0</v>
      </c>
      <c r="AA43" s="88">
        <f t="shared" si="4"/>
        <v>0</v>
      </c>
    </row>
    <row r="44" spans="1:28" s="1" customFormat="1" ht="15" hidden="1" outlineLevel="1">
      <c r="A44" s="72"/>
      <c r="B44" s="72"/>
      <c r="C44" s="74" t="str">
        <f>IF(Budget!F43&lt;&gt;"",Budget!F43,"")</f>
        <v/>
      </c>
      <c r="D44" s="87"/>
      <c r="E44" s="96">
        <v>0</v>
      </c>
      <c r="F44" s="96"/>
      <c r="G44" s="96"/>
      <c r="H44" s="96">
        <v>0</v>
      </c>
      <c r="I44" s="96"/>
      <c r="J44" s="96"/>
      <c r="K44" s="96">
        <v>0</v>
      </c>
      <c r="L44" s="96"/>
      <c r="M44" s="96"/>
      <c r="N44" s="96">
        <v>0</v>
      </c>
      <c r="O44" s="96"/>
      <c r="P44" s="96"/>
      <c r="Q44" s="96">
        <v>0</v>
      </c>
      <c r="R44" s="96"/>
      <c r="S44" s="96"/>
      <c r="T44" s="96">
        <v>0</v>
      </c>
      <c r="U44" s="96"/>
      <c r="V44" s="96"/>
      <c r="W44" s="96">
        <v>0</v>
      </c>
      <c r="X44" s="96"/>
      <c r="Y44" s="96"/>
      <c r="Z44" s="96">
        <v>0</v>
      </c>
      <c r="AA44" s="88">
        <f t="shared" si="4"/>
        <v>0</v>
      </c>
      <c r="AB44" s="4"/>
    </row>
    <row r="45" spans="1:28" s="1" customFormat="1" ht="15" hidden="1" outlineLevel="1">
      <c r="A45" s="72"/>
      <c r="B45" s="72"/>
      <c r="C45" s="74" t="str">
        <f>IF(Budget!F44&lt;&gt;"",Budget!F44,"")</f>
        <v/>
      </c>
      <c r="D45" s="87"/>
      <c r="E45" s="96">
        <v>0</v>
      </c>
      <c r="F45" s="96"/>
      <c r="G45" s="96"/>
      <c r="H45" s="96">
        <v>0</v>
      </c>
      <c r="I45" s="96"/>
      <c r="J45" s="96"/>
      <c r="K45" s="96">
        <v>0</v>
      </c>
      <c r="L45" s="96"/>
      <c r="M45" s="96"/>
      <c r="N45" s="96">
        <v>0</v>
      </c>
      <c r="O45" s="96"/>
      <c r="P45" s="96"/>
      <c r="Q45" s="96">
        <v>0</v>
      </c>
      <c r="R45" s="96"/>
      <c r="S45" s="96"/>
      <c r="T45" s="96">
        <v>0</v>
      </c>
      <c r="U45" s="96"/>
      <c r="V45" s="96"/>
      <c r="W45" s="96">
        <v>0</v>
      </c>
      <c r="X45" s="96"/>
      <c r="Y45" s="96"/>
      <c r="Z45" s="96">
        <v>0</v>
      </c>
      <c r="AA45" s="88">
        <f t="shared" si="4"/>
        <v>0</v>
      </c>
    </row>
    <row r="46" spans="1:28" s="1" customFormat="1" ht="15" hidden="1" outlineLevel="1">
      <c r="A46" s="72"/>
      <c r="B46" s="72"/>
      <c r="C46" s="74" t="str">
        <f>IF(Budget!F45&lt;&gt;"",Budget!F45,"")</f>
        <v/>
      </c>
      <c r="D46" s="87"/>
      <c r="E46" s="97">
        <v>0</v>
      </c>
      <c r="F46" s="97"/>
      <c r="G46" s="97"/>
      <c r="H46" s="97">
        <v>0</v>
      </c>
      <c r="I46" s="97"/>
      <c r="J46" s="97"/>
      <c r="K46" s="97">
        <v>0</v>
      </c>
      <c r="L46" s="97"/>
      <c r="M46" s="97"/>
      <c r="N46" s="97">
        <v>0</v>
      </c>
      <c r="O46" s="97"/>
      <c r="P46" s="97"/>
      <c r="Q46" s="97">
        <v>0</v>
      </c>
      <c r="R46" s="97"/>
      <c r="S46" s="97"/>
      <c r="T46" s="97">
        <v>0</v>
      </c>
      <c r="U46" s="97"/>
      <c r="V46" s="97"/>
      <c r="W46" s="97">
        <v>0</v>
      </c>
      <c r="X46" s="97"/>
      <c r="Y46" s="97"/>
      <c r="Z46" s="97">
        <v>0</v>
      </c>
      <c r="AA46" s="88">
        <f t="shared" si="4"/>
        <v>0</v>
      </c>
    </row>
    <row r="47" spans="1:28" s="1" customFormat="1" ht="15" collapsed="1">
      <c r="A47" s="72"/>
      <c r="B47" s="74"/>
      <c r="C47" s="92" t="s">
        <v>16</v>
      </c>
      <c r="D47" s="93"/>
      <c r="E47" s="94">
        <f>SUM(E37:E46)</f>
        <v>0</v>
      </c>
      <c r="F47" s="94"/>
      <c r="G47" s="93"/>
      <c r="H47" s="94">
        <f>SUM(H37:H46)</f>
        <v>0</v>
      </c>
      <c r="I47" s="94"/>
      <c r="J47" s="93"/>
      <c r="K47" s="94">
        <f>SUM(K37:K46)</f>
        <v>0</v>
      </c>
      <c r="L47" s="94"/>
      <c r="M47" s="93"/>
      <c r="N47" s="94">
        <f>SUM(N37:N46)</f>
        <v>0</v>
      </c>
      <c r="O47" s="94"/>
      <c r="P47" s="93"/>
      <c r="Q47" s="94">
        <f>SUM(Q37:Q46)</f>
        <v>0</v>
      </c>
      <c r="R47" s="94"/>
      <c r="S47" s="94"/>
      <c r="T47" s="94"/>
      <c r="U47" s="94"/>
      <c r="V47" s="94"/>
      <c r="W47" s="94"/>
      <c r="X47" s="94"/>
      <c r="Y47" s="94"/>
      <c r="Z47" s="94"/>
      <c r="AA47" s="450">
        <f t="shared" si="4"/>
        <v>0</v>
      </c>
    </row>
    <row r="48" spans="1:28" s="1" customFormat="1" ht="15">
      <c r="A48" s="72"/>
      <c r="B48" s="74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8"/>
    </row>
    <row r="49" spans="1:27" s="1" customFormat="1" ht="15">
      <c r="A49" s="277" t="s">
        <v>217</v>
      </c>
      <c r="B49" s="277"/>
      <c r="C49" s="74" t="s">
        <v>41</v>
      </c>
      <c r="D49" s="87"/>
      <c r="E49" s="98">
        <v>0</v>
      </c>
      <c r="F49" s="98"/>
      <c r="G49" s="87"/>
      <c r="H49" s="98">
        <v>0</v>
      </c>
      <c r="I49" s="98"/>
      <c r="J49" s="87"/>
      <c r="K49" s="98">
        <v>0</v>
      </c>
      <c r="L49" s="98"/>
      <c r="M49" s="87"/>
      <c r="N49" s="98">
        <v>0</v>
      </c>
      <c r="O49" s="98"/>
      <c r="P49" s="87"/>
      <c r="Q49" s="98">
        <v>0</v>
      </c>
      <c r="R49" s="98"/>
      <c r="S49" s="98"/>
      <c r="T49" s="98">
        <v>0</v>
      </c>
      <c r="U49" s="98"/>
      <c r="V49" s="98"/>
      <c r="W49" s="98">
        <v>0</v>
      </c>
      <c r="X49" s="98"/>
      <c r="Y49" s="98"/>
      <c r="Z49" s="98">
        <v>0</v>
      </c>
      <c r="AA49" s="88">
        <f>E49+H49+K49+N49+Q49+T49+W49+Z49</f>
        <v>0</v>
      </c>
    </row>
    <row r="50" spans="1:27" s="1" customFormat="1" ht="15">
      <c r="A50" s="72"/>
      <c r="B50" s="72"/>
      <c r="C50" s="76" t="s">
        <v>149</v>
      </c>
      <c r="D50" s="99"/>
      <c r="E50" s="451">
        <f>'Effort and OPS Salary'!K21*D15*$C$15</f>
        <v>0</v>
      </c>
      <c r="F50" s="90"/>
      <c r="G50" s="90"/>
      <c r="H50" s="451">
        <f>'Effort and OPS Salary'!K22*G15*$C$15</f>
        <v>0</v>
      </c>
      <c r="I50" s="90"/>
      <c r="J50" s="90"/>
      <c r="K50" s="451">
        <f>'Effort and OPS Salary'!K23*J15*$C$15</f>
        <v>0</v>
      </c>
      <c r="L50" s="90"/>
      <c r="M50" s="90"/>
      <c r="N50" s="451">
        <f>'Effort and OPS Salary'!K24*M15*$C$15</f>
        <v>0</v>
      </c>
      <c r="O50" s="90"/>
      <c r="P50" s="90"/>
      <c r="Q50" s="451">
        <f>'Effort and OPS Salary'!K25*P15*$C$15</f>
        <v>0</v>
      </c>
      <c r="R50" s="90"/>
      <c r="S50" s="90"/>
      <c r="T50" s="451">
        <f>'Effort and OPS Salary'!N25*S15*$C$15</f>
        <v>0</v>
      </c>
      <c r="U50" s="90"/>
      <c r="V50" s="90"/>
      <c r="W50" s="451">
        <f>'Effort and OPS Salary'!Q25*V15*$C$15</f>
        <v>0</v>
      </c>
      <c r="X50" s="90"/>
      <c r="Y50" s="90"/>
      <c r="Z50" s="451">
        <f>'Effort and OPS Salary'!T25*Y15*$C$15</f>
        <v>0</v>
      </c>
      <c r="AA50" s="88">
        <f>E50+H50+K50+N50+Q50+T50+W50+Z50</f>
        <v>0</v>
      </c>
    </row>
    <row r="51" spans="1:27" s="1" customFormat="1" ht="15">
      <c r="A51" s="72"/>
      <c r="B51" s="72"/>
      <c r="C51" s="76" t="s">
        <v>83</v>
      </c>
      <c r="D51" s="87"/>
      <c r="E51" s="90">
        <v>0</v>
      </c>
      <c r="F51" s="90"/>
      <c r="G51" s="90"/>
      <c r="H51" s="90">
        <v>0</v>
      </c>
      <c r="I51" s="90"/>
      <c r="J51" s="90"/>
      <c r="K51" s="90">
        <v>0</v>
      </c>
      <c r="L51" s="90"/>
      <c r="M51" s="90"/>
      <c r="N51" s="90">
        <v>0</v>
      </c>
      <c r="O51" s="90"/>
      <c r="P51" s="90"/>
      <c r="Q51" s="90">
        <v>0</v>
      </c>
      <c r="R51" s="98"/>
      <c r="S51" s="98"/>
      <c r="T51" s="90">
        <v>0</v>
      </c>
      <c r="U51" s="90"/>
      <c r="V51" s="90"/>
      <c r="W51" s="90">
        <v>0</v>
      </c>
      <c r="X51" s="90"/>
      <c r="Y51" s="90"/>
      <c r="Z51" s="90">
        <v>0</v>
      </c>
      <c r="AA51" s="88">
        <f>E51+H51+K51+N51+Q51+T51+W51+Z51</f>
        <v>0</v>
      </c>
    </row>
    <row r="52" spans="1:27" s="1" customFormat="1" ht="15">
      <c r="A52" s="72"/>
      <c r="B52" s="72"/>
      <c r="C52" s="74" t="s">
        <v>214</v>
      </c>
      <c r="D52" s="89"/>
      <c r="E52" s="89">
        <v>0</v>
      </c>
      <c r="F52" s="89"/>
      <c r="G52" s="89"/>
      <c r="H52" s="89">
        <v>0</v>
      </c>
      <c r="I52" s="89"/>
      <c r="J52" s="89"/>
      <c r="K52" s="89">
        <v>0</v>
      </c>
      <c r="L52" s="89"/>
      <c r="M52" s="89"/>
      <c r="N52" s="89">
        <v>0</v>
      </c>
      <c r="O52" s="89"/>
      <c r="P52" s="89"/>
      <c r="Q52" s="89">
        <v>0</v>
      </c>
      <c r="R52" s="402"/>
      <c r="S52" s="403"/>
      <c r="T52" s="90">
        <v>0</v>
      </c>
      <c r="U52" s="90"/>
      <c r="V52" s="90"/>
      <c r="W52" s="90">
        <v>0</v>
      </c>
      <c r="X52" s="90"/>
      <c r="Y52" s="90"/>
      <c r="Z52" s="90">
        <v>0</v>
      </c>
      <c r="AA52" s="88">
        <f>E52+H52+K52+N52+Q52+T52+W52+Z52</f>
        <v>0</v>
      </c>
    </row>
    <row r="53" spans="1:27" s="1" customFormat="1" ht="15">
      <c r="A53" s="72"/>
      <c r="B53" s="74"/>
      <c r="C53" s="92" t="s">
        <v>17</v>
      </c>
      <c r="D53" s="100"/>
      <c r="E53" s="94">
        <f>SUM(E49:E51)</f>
        <v>0</v>
      </c>
      <c r="F53" s="94"/>
      <c r="G53" s="100"/>
      <c r="H53" s="94">
        <f>SUM(H49:H51)</f>
        <v>0</v>
      </c>
      <c r="I53" s="94"/>
      <c r="J53" s="100"/>
      <c r="K53" s="94">
        <f>SUM(K49:K51)</f>
        <v>0</v>
      </c>
      <c r="L53" s="94"/>
      <c r="M53" s="100"/>
      <c r="N53" s="94">
        <f>SUM(N49:N51)</f>
        <v>0</v>
      </c>
      <c r="O53" s="94"/>
      <c r="P53" s="100"/>
      <c r="Q53" s="94">
        <f>SUM(Q49:Q51)</f>
        <v>0</v>
      </c>
      <c r="R53" s="94"/>
      <c r="S53" s="94"/>
      <c r="T53" s="449">
        <f>SUM(T49:T52)</f>
        <v>0</v>
      </c>
      <c r="U53" s="449"/>
      <c r="V53" s="449"/>
      <c r="W53" s="449">
        <f>SUM(W49:W52)</f>
        <v>0</v>
      </c>
      <c r="X53" s="449"/>
      <c r="Y53" s="449"/>
      <c r="Z53" s="449">
        <f>SUM(Z49:Z51)</f>
        <v>0</v>
      </c>
      <c r="AA53" s="450">
        <f>E53+H53+K53+N53+Q53+T53+W53+Z53</f>
        <v>0</v>
      </c>
    </row>
    <row r="54" spans="1:27" s="1" customFormat="1" ht="15">
      <c r="A54" s="72"/>
      <c r="B54" s="74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8"/>
    </row>
    <row r="55" spans="1:27" s="1" customFormat="1" ht="15">
      <c r="A55" s="75" t="s">
        <v>33</v>
      </c>
      <c r="B55" s="77"/>
      <c r="C55" s="92" t="s">
        <v>34</v>
      </c>
      <c r="D55" s="93"/>
      <c r="E55" s="94">
        <f>E34+E47+E53</f>
        <v>0</v>
      </c>
      <c r="F55" s="94"/>
      <c r="G55" s="93"/>
      <c r="H55" s="94">
        <f>H34+H47+H53</f>
        <v>0</v>
      </c>
      <c r="I55" s="94"/>
      <c r="J55" s="93"/>
      <c r="K55" s="94">
        <f>K34+K47+K53</f>
        <v>0</v>
      </c>
      <c r="L55" s="94"/>
      <c r="M55" s="93"/>
      <c r="N55" s="94">
        <f>N34+N47+N53</f>
        <v>0</v>
      </c>
      <c r="O55" s="94"/>
      <c r="P55" s="93"/>
      <c r="Q55" s="94">
        <f>Q34+Q47+Q53</f>
        <v>0</v>
      </c>
      <c r="R55" s="94"/>
      <c r="S55" s="94"/>
      <c r="T55" s="94">
        <f>T34+T47+T53</f>
        <v>0</v>
      </c>
      <c r="U55" s="94"/>
      <c r="V55" s="94"/>
      <c r="W55" s="94">
        <f>W34+W47+W53</f>
        <v>0</v>
      </c>
      <c r="X55" s="94"/>
      <c r="Y55" s="94"/>
      <c r="Z55" s="94">
        <f>Z34+Z47+Z53</f>
        <v>0</v>
      </c>
      <c r="AA55" s="88">
        <f>SUM(E55,H55,K55,N55,Q55,T55,W55,Z55)</f>
        <v>0</v>
      </c>
    </row>
    <row r="56" spans="1:27" s="1" customFormat="1" ht="15">
      <c r="A56" s="78"/>
      <c r="B56" s="79"/>
      <c r="C56" s="103"/>
      <c r="D56" s="101"/>
      <c r="E56" s="104"/>
      <c r="F56" s="104"/>
      <c r="G56" s="101"/>
      <c r="H56" s="104"/>
      <c r="I56" s="104"/>
      <c r="J56" s="101"/>
      <c r="K56" s="104"/>
      <c r="L56" s="104"/>
      <c r="M56" s="101"/>
      <c r="N56" s="104"/>
      <c r="O56" s="104"/>
      <c r="P56" s="101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88"/>
    </row>
    <row r="57" spans="1:27" s="1" customFormat="1" ht="15">
      <c r="A57" s="73" t="s">
        <v>85</v>
      </c>
      <c r="B57" s="80"/>
      <c r="C57" s="105"/>
      <c r="D57" s="105"/>
      <c r="E57" s="88">
        <v>0</v>
      </c>
      <c r="F57" s="105"/>
      <c r="G57" s="105"/>
      <c r="H57" s="88">
        <v>0</v>
      </c>
      <c r="I57" s="105"/>
      <c r="J57" s="105"/>
      <c r="K57" s="88">
        <v>0</v>
      </c>
      <c r="L57" s="105"/>
      <c r="M57" s="105"/>
      <c r="N57" s="88">
        <v>0</v>
      </c>
      <c r="O57" s="105"/>
      <c r="P57" s="105"/>
      <c r="Q57" s="88">
        <v>0</v>
      </c>
      <c r="R57" s="88"/>
      <c r="S57" s="88"/>
      <c r="T57" s="88">
        <v>0</v>
      </c>
      <c r="U57" s="88"/>
      <c r="V57" s="88"/>
      <c r="W57" s="88">
        <v>0</v>
      </c>
      <c r="X57" s="88"/>
      <c r="Y57" s="88"/>
      <c r="Z57" s="88">
        <v>0</v>
      </c>
      <c r="AA57" s="88">
        <f>SUM(E57,H57,K57,N57,Q57,T57,W57,Z57)</f>
        <v>0</v>
      </c>
    </row>
    <row r="58" spans="1:27" s="1" customFormat="1" ht="15">
      <c r="A58" s="78"/>
      <c r="B58" s="79"/>
      <c r="C58" s="103"/>
      <c r="D58" s="101"/>
      <c r="E58" s="104"/>
      <c r="F58" s="104"/>
      <c r="G58" s="101"/>
      <c r="H58" s="104"/>
      <c r="I58" s="104"/>
      <c r="J58" s="101"/>
      <c r="K58" s="104"/>
      <c r="L58" s="104"/>
      <c r="M58" s="101"/>
      <c r="N58" s="104"/>
      <c r="O58" s="104"/>
      <c r="P58" s="101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88"/>
    </row>
    <row r="59" spans="1:27" s="1" customFormat="1" ht="15">
      <c r="A59" s="81" t="s">
        <v>86</v>
      </c>
      <c r="B59" s="82"/>
      <c r="C59" s="106"/>
      <c r="D59" s="106"/>
      <c r="E59" s="107">
        <f>E57-E55</f>
        <v>0</v>
      </c>
      <c r="F59" s="106"/>
      <c r="G59" s="106"/>
      <c r="H59" s="107">
        <f>H57-H55</f>
        <v>0</v>
      </c>
      <c r="I59" s="106"/>
      <c r="J59" s="106"/>
      <c r="K59" s="108">
        <f>K57-K55</f>
        <v>0</v>
      </c>
      <c r="L59" s="106"/>
      <c r="M59" s="106"/>
      <c r="N59" s="108">
        <f>N57-N55</f>
        <v>0</v>
      </c>
      <c r="O59" s="106"/>
      <c r="P59" s="106"/>
      <c r="Q59" s="108">
        <f>Q57-Q55</f>
        <v>0</v>
      </c>
      <c r="R59" s="108"/>
      <c r="S59" s="108"/>
      <c r="T59" s="108">
        <f>T57-T55</f>
        <v>0</v>
      </c>
      <c r="U59" s="108"/>
      <c r="V59" s="108"/>
      <c r="W59" s="108">
        <f>W57-W55</f>
        <v>0</v>
      </c>
      <c r="X59" s="108"/>
      <c r="Y59" s="108"/>
      <c r="Z59" s="108">
        <f>Z57-Z55</f>
        <v>0</v>
      </c>
      <c r="AA59" s="88">
        <f>SUM(E59,H59,K59,N59,Q59,T59,W59,Z59)</f>
        <v>0</v>
      </c>
    </row>
    <row r="60" spans="1:27" s="1" customFormat="1" ht="15">
      <c r="A60" s="78"/>
      <c r="B60" s="79"/>
      <c r="C60" s="103"/>
      <c r="D60" s="101"/>
      <c r="E60" s="104"/>
      <c r="F60" s="104"/>
      <c r="G60" s="101"/>
      <c r="H60" s="104"/>
      <c r="I60" s="104"/>
      <c r="J60" s="101"/>
      <c r="K60" s="104"/>
      <c r="L60" s="104"/>
      <c r="M60" s="101"/>
      <c r="N60" s="104"/>
      <c r="O60" s="104"/>
      <c r="P60" s="101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88"/>
    </row>
    <row r="61" spans="1:27" s="1" customFormat="1" ht="15">
      <c r="A61" s="74"/>
      <c r="B61" s="74"/>
      <c r="C61" s="87"/>
      <c r="D61" s="69"/>
      <c r="E61" s="91"/>
      <c r="F61" s="91"/>
      <c r="G61" s="69"/>
      <c r="H61" s="91"/>
      <c r="I61" s="91"/>
      <c r="J61" s="69"/>
      <c r="K61" s="91"/>
      <c r="L61" s="91"/>
      <c r="M61" s="69"/>
      <c r="N61" s="91"/>
      <c r="O61" s="91"/>
      <c r="P61" s="69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88"/>
    </row>
    <row r="62" spans="1:27" s="1" customFormat="1" ht="15">
      <c r="A62" s="83" t="s">
        <v>35</v>
      </c>
      <c r="B62" s="84"/>
      <c r="C62" s="111" t="s">
        <v>36</v>
      </c>
      <c r="D62" s="109"/>
      <c r="E62" s="68">
        <f>E55-E53</f>
        <v>0</v>
      </c>
      <c r="F62" s="68"/>
      <c r="G62" s="109"/>
      <c r="H62" s="68">
        <f>H55-H53</f>
        <v>0</v>
      </c>
      <c r="I62" s="68"/>
      <c r="J62" s="109"/>
      <c r="K62" s="68">
        <f>K55-K53</f>
        <v>0</v>
      </c>
      <c r="L62" s="68"/>
      <c r="M62" s="109"/>
      <c r="N62" s="68">
        <f>N55-N53</f>
        <v>0</v>
      </c>
      <c r="O62" s="68"/>
      <c r="P62" s="109"/>
      <c r="Q62" s="68">
        <f>Q55-Q53</f>
        <v>0</v>
      </c>
      <c r="R62" s="68"/>
      <c r="S62" s="68"/>
      <c r="T62" s="68">
        <f>T55-T53</f>
        <v>0</v>
      </c>
      <c r="U62" s="68"/>
      <c r="V62" s="68"/>
      <c r="W62" s="68">
        <f>W55-W53</f>
        <v>0</v>
      </c>
      <c r="X62" s="68"/>
      <c r="Y62" s="68"/>
      <c r="Z62" s="68">
        <f>Z55-Z53</f>
        <v>0</v>
      </c>
      <c r="AA62" s="88">
        <f>SUM(E62,H62,K62,N62,Q62,T62,W62,Z62)</f>
        <v>0</v>
      </c>
    </row>
    <row r="63" spans="1:27" s="1" customFormat="1" ht="15">
      <c r="A63" s="72"/>
      <c r="B63" s="74"/>
      <c r="C63" s="69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8"/>
    </row>
    <row r="64" spans="1:27" s="1" customFormat="1" ht="15">
      <c r="A64" s="83" t="s">
        <v>24</v>
      </c>
      <c r="B64" s="84"/>
      <c r="C64" s="112" t="s">
        <v>18</v>
      </c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8"/>
    </row>
    <row r="65" spans="1:29" s="1" customFormat="1" ht="15">
      <c r="A65" s="74"/>
      <c r="B65" s="74"/>
      <c r="C65" s="279">
        <f>Budget!F64</f>
        <v>0.52500000000000002</v>
      </c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8"/>
    </row>
    <row r="66" spans="1:29" s="1" customFormat="1" ht="15">
      <c r="A66" s="74"/>
      <c r="B66" s="74"/>
      <c r="C66" s="111" t="s">
        <v>19</v>
      </c>
      <c r="D66" s="110"/>
      <c r="E66" s="68">
        <f>E62*$C65</f>
        <v>0</v>
      </c>
      <c r="F66" s="110"/>
      <c r="G66" s="110"/>
      <c r="H66" s="68">
        <f>H62*$C65</f>
        <v>0</v>
      </c>
      <c r="I66" s="110"/>
      <c r="J66" s="110"/>
      <c r="K66" s="68">
        <f>K62*$C65</f>
        <v>0</v>
      </c>
      <c r="L66" s="110"/>
      <c r="M66" s="110"/>
      <c r="N66" s="68">
        <f>N62*$C65</f>
        <v>0</v>
      </c>
      <c r="O66" s="110"/>
      <c r="P66" s="110"/>
      <c r="Q66" s="68">
        <f>Q62*$C65</f>
        <v>0</v>
      </c>
      <c r="R66" s="68"/>
      <c r="S66" s="68"/>
      <c r="T66" s="68">
        <f>T62*$C65</f>
        <v>0</v>
      </c>
      <c r="U66" s="68"/>
      <c r="V66" s="68"/>
      <c r="W66" s="68">
        <f>W62*$C65</f>
        <v>0</v>
      </c>
      <c r="X66" s="68"/>
      <c r="Y66" s="68"/>
      <c r="Z66" s="68">
        <f>Z62*$C65</f>
        <v>0</v>
      </c>
      <c r="AA66" s="88">
        <f>SUM(E66,H66,K66,N66,Q66,T66,W66,Z66)</f>
        <v>0</v>
      </c>
    </row>
    <row r="67" spans="1:29" s="1" customFormat="1" ht="15">
      <c r="A67" s="74"/>
      <c r="B67" s="74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8"/>
    </row>
    <row r="68" spans="1:29" s="1" customFormat="1" ht="15">
      <c r="A68" s="74"/>
      <c r="B68" s="74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8"/>
    </row>
    <row r="69" spans="1:29" s="1" customFormat="1" ht="15">
      <c r="A69" s="73" t="s">
        <v>20</v>
      </c>
      <c r="B69" s="80"/>
      <c r="C69" s="105"/>
      <c r="D69" s="105"/>
      <c r="E69" s="88">
        <f>E55+E66</f>
        <v>0</v>
      </c>
      <c r="F69" s="88"/>
      <c r="G69" s="105"/>
      <c r="H69" s="88">
        <f>H55+H66</f>
        <v>0</v>
      </c>
      <c r="I69" s="88"/>
      <c r="J69" s="105"/>
      <c r="K69" s="88">
        <f>K55+K66</f>
        <v>0</v>
      </c>
      <c r="L69" s="88"/>
      <c r="M69" s="105"/>
      <c r="N69" s="88">
        <f>N55+N66</f>
        <v>0</v>
      </c>
      <c r="O69" s="88"/>
      <c r="P69" s="105"/>
      <c r="Q69" s="88">
        <f>Q55+Q66</f>
        <v>0</v>
      </c>
      <c r="R69" s="88"/>
      <c r="S69" s="88"/>
      <c r="T69" s="88">
        <f>T55+T66</f>
        <v>0</v>
      </c>
      <c r="U69" s="88"/>
      <c r="V69" s="88"/>
      <c r="W69" s="88">
        <f>W55+W66</f>
        <v>0</v>
      </c>
      <c r="X69" s="88"/>
      <c r="Y69" s="88"/>
      <c r="Z69" s="88">
        <f>Z55+Z66</f>
        <v>0</v>
      </c>
      <c r="AA69" s="88">
        <f>SUM(E69,H69,K69,N69,Q69,T69,W69,Z69)</f>
        <v>0</v>
      </c>
      <c r="AB69" s="102"/>
    </row>
    <row r="70" spans="1:29" s="1" customFormat="1" ht="15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102"/>
    </row>
    <row r="71" spans="1:29" s="1" customFormat="1" ht="15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66"/>
    </row>
    <row r="72" spans="1:29">
      <c r="A72" s="1"/>
      <c r="B72" s="1"/>
      <c r="C72" s="1"/>
      <c r="D72" s="1"/>
      <c r="E72" s="1"/>
      <c r="F72" s="3"/>
      <c r="G72" s="3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5"/>
    </row>
    <row r="73" spans="1:29">
      <c r="A73" s="113"/>
      <c r="B73" s="113"/>
      <c r="C73" s="113"/>
      <c r="D73" s="11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5"/>
    </row>
    <row r="74" spans="1:29">
      <c r="A74" s="4"/>
      <c r="B74" s="15"/>
      <c r="C74" s="15"/>
      <c r="D74" s="15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5"/>
    </row>
    <row r="75" spans="1:29">
      <c r="A75" s="4"/>
      <c r="B75" s="16"/>
      <c r="C75" s="16"/>
      <c r="D75" s="16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5"/>
    </row>
    <row r="76" spans="1:29">
      <c r="A76" s="4"/>
      <c r="B76" s="16"/>
      <c r="C76" s="16"/>
      <c r="D76" s="16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5"/>
    </row>
    <row r="77" spans="1:29">
      <c r="A77" s="4"/>
      <c r="B77" s="16"/>
      <c r="C77" s="16"/>
      <c r="D77" s="16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5"/>
    </row>
    <row r="78" spans="1:29">
      <c r="A78" s="4"/>
      <c r="B78" s="16"/>
      <c r="C78" s="16"/>
      <c r="D78" s="16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5"/>
    </row>
    <row r="79" spans="1:29">
      <c r="A79" s="4"/>
      <c r="B79" s="16"/>
      <c r="C79" s="16"/>
      <c r="D79" s="16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5"/>
    </row>
    <row r="80" spans="1:29">
      <c r="A80" s="4"/>
      <c r="B80" s="16"/>
      <c r="C80" s="16"/>
      <c r="D80" s="16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5"/>
      <c r="AC80" s="5"/>
    </row>
    <row r="81" spans="1:29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1:29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1:29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1:29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1:29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1:29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1:29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1:29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1:29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1:29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1:29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1:29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1:29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1:29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1:29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spans="1:29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spans="1:29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1:29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1:29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1:29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1:29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1:29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1:29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1:29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1:29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1:29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1:29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1:29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1:29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1:29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1:29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1:29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1:29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1:29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1:29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29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1:29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1:29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1:29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1:29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1:29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1:29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1:29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1:29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1:29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1:29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1:29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spans="1:29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spans="1:29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 spans="1:29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 spans="1:29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 spans="1:29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spans="1:29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 spans="1:29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 spans="1:29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spans="1:29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1:29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1:29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1:29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1:29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1:29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1:29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1:29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1:29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1:29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1:29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1:29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1:29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1:29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1:29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1:29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spans="1:29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</row>
    <row r="153" spans="1:29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</row>
    <row r="154" spans="1:29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</row>
    <row r="155" spans="1:29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</row>
    <row r="156" spans="1:29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</row>
    <row r="157" spans="1:29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</row>
    <row r="158" spans="1:29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</row>
    <row r="159" spans="1:29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</row>
    <row r="160" spans="1:29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</row>
    <row r="161" spans="1:29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</row>
    <row r="162" spans="1:29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</row>
    <row r="163" spans="1:29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</row>
    <row r="164" spans="1:29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</row>
    <row r="165" spans="1:29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</row>
    <row r="166" spans="1:29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</row>
    <row r="167" spans="1:29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</row>
    <row r="168" spans="1:29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</row>
    <row r="169" spans="1:29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</row>
    <row r="170" spans="1:29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</row>
    <row r="171" spans="1:29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</row>
    <row r="172" spans="1:29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</row>
    <row r="173" spans="1:29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</row>
    <row r="174" spans="1:29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</row>
    <row r="175" spans="1:29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</row>
    <row r="176" spans="1:29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</row>
    <row r="177" spans="1:29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 spans="1:29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</row>
    <row r="179" spans="1:29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</row>
    <row r="180" spans="1:29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</row>
    <row r="181" spans="1:29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spans="1:29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</row>
    <row r="183" spans="1:29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</row>
    <row r="184" spans="1:29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</row>
    <row r="185" spans="1:29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</row>
    <row r="186" spans="1:29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</row>
    <row r="187" spans="1:29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</row>
    <row r="188" spans="1:29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</row>
    <row r="189" spans="1:29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</row>
    <row r="190" spans="1:29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</row>
    <row r="191" spans="1:29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</row>
    <row r="192" spans="1:29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</row>
    <row r="193" spans="1:29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</row>
    <row r="194" spans="1:29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</row>
    <row r="195" spans="1:29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</row>
    <row r="196" spans="1:29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</row>
    <row r="197" spans="1:29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</row>
    <row r="198" spans="1:29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</row>
    <row r="199" spans="1:29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</row>
    <row r="200" spans="1:29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</row>
    <row r="201" spans="1:29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</row>
    <row r="202" spans="1:29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</row>
    <row r="203" spans="1:29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</row>
    <row r="204" spans="1:29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</row>
    <row r="205" spans="1:29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</row>
    <row r="206" spans="1:29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</row>
    <row r="207" spans="1:29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</row>
    <row r="208" spans="1:29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</row>
    <row r="209" spans="1:29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</row>
    <row r="210" spans="1:29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</row>
    <row r="211" spans="1:29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</row>
    <row r="212" spans="1:29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</row>
    <row r="213" spans="1:29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</row>
    <row r="214" spans="1:29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</row>
    <row r="215" spans="1:29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</row>
    <row r="216" spans="1:29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</row>
    <row r="217" spans="1:29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</row>
    <row r="218" spans="1:29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</row>
    <row r="219" spans="1:29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</row>
    <row r="220" spans="1:29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</row>
    <row r="221" spans="1:29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</row>
    <row r="222" spans="1:29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</row>
    <row r="223" spans="1:29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</row>
    <row r="224" spans="1:29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</row>
    <row r="225" spans="1:29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</row>
    <row r="226" spans="1:29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</row>
    <row r="227" spans="1:29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</row>
    <row r="228" spans="1:29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</row>
    <row r="229" spans="1:29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</row>
    <row r="230" spans="1:29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</row>
    <row r="231" spans="1:29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</row>
    <row r="232" spans="1:29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</row>
    <row r="233" spans="1:29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</row>
    <row r="234" spans="1:29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</row>
    <row r="235" spans="1:29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</row>
    <row r="236" spans="1:29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</row>
    <row r="237" spans="1:29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</row>
    <row r="238" spans="1:29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</row>
    <row r="239" spans="1:29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</row>
    <row r="240" spans="1:29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</row>
    <row r="241" spans="1:29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</row>
    <row r="242" spans="1:29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</row>
    <row r="243" spans="1:29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</row>
    <row r="244" spans="1:29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</row>
    <row r="245" spans="1:29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</row>
    <row r="246" spans="1:29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</row>
    <row r="247" spans="1:29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</row>
    <row r="248" spans="1:29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</row>
    <row r="249" spans="1:29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</row>
    <row r="250" spans="1:29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</row>
    <row r="251" spans="1:29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</row>
    <row r="252" spans="1:29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</row>
    <row r="253" spans="1:29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</row>
    <row r="254" spans="1:29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</row>
    <row r="255" spans="1:29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</row>
    <row r="256" spans="1:29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</row>
    <row r="257" spans="1:29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</row>
    <row r="258" spans="1:29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</row>
    <row r="259" spans="1:29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</row>
    <row r="260" spans="1:29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</row>
    <row r="261" spans="1:29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</row>
    <row r="262" spans="1:29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</row>
    <row r="263" spans="1:29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</row>
    <row r="264" spans="1:29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</row>
    <row r="265" spans="1:29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</row>
    <row r="266" spans="1:29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</row>
    <row r="267" spans="1:29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</row>
    <row r="268" spans="1:29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</row>
    <row r="269" spans="1:29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</row>
    <row r="270" spans="1:29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</row>
    <row r="271" spans="1:29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</row>
    <row r="272" spans="1:29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</row>
    <row r="273" spans="1:29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</row>
    <row r="274" spans="1:29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</row>
    <row r="275" spans="1:29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</row>
    <row r="276" spans="1:29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</row>
    <row r="277" spans="1:29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</row>
    <row r="278" spans="1:29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</row>
    <row r="279" spans="1:29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</row>
    <row r="280" spans="1:29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</row>
    <row r="281" spans="1:29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</row>
    <row r="282" spans="1:29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</row>
    <row r="283" spans="1:29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</row>
    <row r="284" spans="1:29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</row>
    <row r="285" spans="1:29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</row>
    <row r="286" spans="1:29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</row>
    <row r="287" spans="1:29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</row>
    <row r="288" spans="1:29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</row>
    <row r="289" spans="1:29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</row>
    <row r="290" spans="1:29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</row>
    <row r="291" spans="1:29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</row>
    <row r="292" spans="1:29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</row>
    <row r="293" spans="1:29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</row>
    <row r="294" spans="1:29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</row>
    <row r="295" spans="1:29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</row>
    <row r="296" spans="1:29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</row>
    <row r="297" spans="1:29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</row>
    <row r="298" spans="1:29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</row>
    <row r="299" spans="1:29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</row>
    <row r="300" spans="1:29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</row>
    <row r="301" spans="1:29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</row>
    <row r="302" spans="1:29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</row>
    <row r="303" spans="1:29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</row>
    <row r="304" spans="1:29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</row>
    <row r="305" spans="1:29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</row>
    <row r="306" spans="1:29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</row>
    <row r="307" spans="1:29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</row>
    <row r="308" spans="1:29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</row>
    <row r="309" spans="1:29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</row>
    <row r="310" spans="1:29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</row>
    <row r="311" spans="1:29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</row>
    <row r="312" spans="1:29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</row>
    <row r="313" spans="1:29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</row>
    <row r="314" spans="1:29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</row>
    <row r="315" spans="1:29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</row>
    <row r="316" spans="1:29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</row>
    <row r="317" spans="1:29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</row>
    <row r="318" spans="1:29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</row>
    <row r="319" spans="1:29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</row>
    <row r="320" spans="1:29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</sheetData>
  <mergeCells count="32">
    <mergeCell ref="AJ15:AK15"/>
    <mergeCell ref="AL15:AM15"/>
    <mergeCell ref="AN15:AO15"/>
    <mergeCell ref="AP15:AQ15"/>
    <mergeCell ref="AR15:AS15"/>
    <mergeCell ref="X8:Z8"/>
    <mergeCell ref="U8:W8"/>
    <mergeCell ref="R8:T8"/>
    <mergeCell ref="AD15:AE15"/>
    <mergeCell ref="AF15:AG15"/>
    <mergeCell ref="AH15:AI15"/>
    <mergeCell ref="C9:E9"/>
    <mergeCell ref="X9:Z9"/>
    <mergeCell ref="U9:W9"/>
    <mergeCell ref="R9:T9"/>
    <mergeCell ref="O9:Q9"/>
    <mergeCell ref="L9:N9"/>
    <mergeCell ref="I9:K9"/>
    <mergeCell ref="F9:H9"/>
    <mergeCell ref="R10:T10"/>
    <mergeCell ref="U10:W10"/>
    <mergeCell ref="X10:Z10"/>
    <mergeCell ref="C10:E10"/>
    <mergeCell ref="F10:H10"/>
    <mergeCell ref="I10:K10"/>
    <mergeCell ref="L10:N10"/>
    <mergeCell ref="O10:Q10"/>
    <mergeCell ref="C8:E8"/>
    <mergeCell ref="F8:H8"/>
    <mergeCell ref="I8:K8"/>
    <mergeCell ref="L8:N8"/>
    <mergeCell ref="O8:Q8"/>
  </mergeCells>
  <dataValidations disablePrompts="1" count="1">
    <dataValidation type="list" showInputMessage="1" showErrorMessage="1" promptTitle="NIH Salary Cap: " prompt="FY19 - $192,300" sqref="B4" xr:uid="{00000000-0002-0000-0400-000000000000}">
      <formula1>"$192300, none"</formula1>
    </dataValidation>
  </dataValidations>
  <hyperlinks>
    <hyperlink ref="A26" r:id="rId1" display="FRINGES:" xr:uid="{00000000-0004-0000-0400-000000000000}"/>
    <hyperlink ref="A64" r:id="rId2" xr:uid="{00000000-0004-0000-0400-000001000000}"/>
    <hyperlink ref="A4" r:id="rId3" xr:uid="{00000000-0004-0000-0400-000002000000}"/>
    <hyperlink ref="A11" r:id="rId4" xr:uid="{00000000-0004-0000-0400-000003000000}"/>
    <hyperlink ref="C50" r:id="rId5" xr:uid="{00000000-0004-0000-0400-000004000000}"/>
    <hyperlink ref="C51" r:id="rId6" xr:uid="{00000000-0004-0000-0400-000005000000}"/>
    <hyperlink ref="B17" r:id="rId7" xr:uid="{00000000-0004-0000-0400-000006000000}"/>
  </hyperlinks>
  <pageMargins left="0.75" right="0.75" top="1" bottom="1" header="0.5" footer="0.5"/>
  <pageSetup scale="43" orientation="portrait" horizontalDpi="4294967292" verticalDpi="4294967292" r:id="rId8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T320"/>
  <sheetViews>
    <sheetView topLeftCell="A2" zoomScale="80" zoomScaleNormal="80" workbookViewId="0">
      <pane ySplit="9" topLeftCell="A11" activePane="bottomLeft" state="frozen"/>
      <selection activeCell="F27" sqref="F27"/>
      <selection pane="bottomLeft" activeCell="B2" sqref="B2:O2"/>
    </sheetView>
  </sheetViews>
  <sheetFormatPr defaultColWidth="11.09765625" defaultRowHeight="15.6" outlineLevelRow="1" outlineLevelCol="1"/>
  <cols>
    <col min="1" max="1" width="32.59765625" customWidth="1"/>
    <col min="2" max="2" width="19.3984375" customWidth="1"/>
    <col min="3" max="3" width="18.59765625" customWidth="1"/>
    <col min="4" max="4" width="19.19921875" customWidth="1"/>
    <col min="5" max="5" width="12.19921875" customWidth="1"/>
    <col min="6" max="6" width="12.09765625" customWidth="1"/>
    <col min="7" max="7" width="12.69921875" customWidth="1"/>
    <col min="8" max="8" width="11" customWidth="1"/>
    <col min="9" max="9" width="12.5" customWidth="1"/>
    <col min="10" max="10" width="12" customWidth="1"/>
    <col min="11" max="11" width="11" customWidth="1"/>
    <col min="12" max="12" width="11.19921875" customWidth="1"/>
    <col min="13" max="13" width="12.3984375" customWidth="1"/>
    <col min="14" max="14" width="10.8984375" customWidth="1"/>
    <col min="15" max="15" width="11.5" customWidth="1"/>
    <col min="16" max="16" width="11.8984375" customWidth="1"/>
    <col min="17" max="17" width="11.3984375" customWidth="1"/>
    <col min="18" max="26" width="11.3984375" customWidth="1" outlineLevel="1"/>
    <col min="27" max="27" width="11.3984375" customWidth="1"/>
    <col min="28" max="28" width="14.09765625" customWidth="1"/>
    <col min="29" max="29" width="19.3984375" bestFit="1" customWidth="1"/>
    <col min="40" max="45" width="0" hidden="1" customWidth="1" outlineLevel="1"/>
    <col min="46" max="46" width="11.09765625" collapsed="1"/>
  </cols>
  <sheetData>
    <row r="1" spans="1:45" s="58" customFormat="1">
      <c r="A1" s="68" t="s">
        <v>40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45" s="58" customFormat="1">
      <c r="A2" s="68" t="s">
        <v>40</v>
      </c>
      <c r="B2" s="456">
        <f>Budget!B1</f>
        <v>0</v>
      </c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45" s="1" customFormat="1">
      <c r="A3" s="69" t="s">
        <v>39</v>
      </c>
      <c r="B3" s="61" t="str">
        <f>Budget!B2</f>
        <v>NIH</v>
      </c>
      <c r="AA3" s="63"/>
    </row>
    <row r="4" spans="1:45" s="1" customFormat="1">
      <c r="A4" s="258" t="s">
        <v>82</v>
      </c>
      <c r="B4" s="64">
        <f>CAP</f>
        <v>199300</v>
      </c>
      <c r="C4" s="62"/>
      <c r="AA4" s="63"/>
    </row>
    <row r="5" spans="1:45" s="1" customFormat="1">
      <c r="A5" s="69" t="s">
        <v>76</v>
      </c>
      <c r="B5" s="60">
        <f>Budget!B4</f>
        <v>44743</v>
      </c>
      <c r="C5" s="60"/>
      <c r="AA5" s="63"/>
    </row>
    <row r="6" spans="1:45" s="1" customFormat="1">
      <c r="A6" s="69" t="s">
        <v>77</v>
      </c>
      <c r="B6" s="60">
        <f>Budget!B5</f>
        <v>46568</v>
      </c>
      <c r="C6" s="60"/>
      <c r="AA6" s="63"/>
    </row>
    <row r="7" spans="1:45" s="1" customFormat="1">
      <c r="A7" s="70" t="s">
        <v>87</v>
      </c>
      <c r="B7" s="67">
        <f>Budget!B6</f>
        <v>0.03</v>
      </c>
      <c r="C7" s="60"/>
      <c r="AA7" s="63"/>
    </row>
    <row r="8" spans="1:45" s="1" customFormat="1" hidden="1">
      <c r="A8" s="71" t="s">
        <v>78</v>
      </c>
      <c r="B8" s="257">
        <f>ROUND((B6-B5)/365,2)</f>
        <v>5</v>
      </c>
      <c r="C8" s="575">
        <f>IF(B8&gt;0,IF(B8&lt;1,B8,1),0)</f>
        <v>1</v>
      </c>
      <c r="D8" s="575"/>
      <c r="E8" s="575"/>
      <c r="F8" s="575">
        <f>IF(B8&lt;=1,0,IF(B8&lt;2,B8-1,1))</f>
        <v>1</v>
      </c>
      <c r="G8" s="575"/>
      <c r="H8" s="575"/>
      <c r="I8" s="575">
        <f>IF(B8&lt;=2,0,IF(B8&lt;3,B8-2,1))</f>
        <v>1</v>
      </c>
      <c r="J8" s="575"/>
      <c r="K8" s="575"/>
      <c r="L8" s="575">
        <f>IF(B8&lt;=3,0,IF(B8&lt;4,B8-3,1))</f>
        <v>1</v>
      </c>
      <c r="M8" s="575"/>
      <c r="N8" s="575"/>
      <c r="O8" s="575">
        <f>IF(B8&lt;=4,0,IF(B8&lt;5,B8-4,1))</f>
        <v>1</v>
      </c>
      <c r="P8" s="575"/>
      <c r="Q8" s="575"/>
      <c r="R8" s="575">
        <f>IF(B8&lt;=5,0,IF(B8&lt;6,B8-5,1))</f>
        <v>0</v>
      </c>
      <c r="S8" s="575"/>
      <c r="T8" s="575"/>
      <c r="U8" s="575">
        <f>IF(B8&lt;=6,0,IF(B8&lt;7,B8-6,1))</f>
        <v>0</v>
      </c>
      <c r="V8" s="575"/>
      <c r="W8" s="575"/>
      <c r="X8" s="575">
        <f>IF(B8&lt;=7,0,IF(B8&lt;8,B8-7,1))</f>
        <v>0</v>
      </c>
      <c r="Y8" s="575"/>
      <c r="Z8" s="575"/>
      <c r="AA8" s="63"/>
    </row>
    <row r="9" spans="1:45" s="1" customFormat="1" hidden="1">
      <c r="A9" s="71" t="s">
        <v>180</v>
      </c>
      <c r="B9" s="257">
        <f>B8*12</f>
        <v>60</v>
      </c>
      <c r="C9" s="576">
        <f>C8*12</f>
        <v>12</v>
      </c>
      <c r="D9" s="576"/>
      <c r="E9" s="576"/>
      <c r="F9" s="576">
        <f>F8*12</f>
        <v>12</v>
      </c>
      <c r="G9" s="576"/>
      <c r="H9" s="576"/>
      <c r="I9" s="576">
        <f>I8*12</f>
        <v>12</v>
      </c>
      <c r="J9" s="576"/>
      <c r="K9" s="576"/>
      <c r="L9" s="576">
        <f>L8*12</f>
        <v>12</v>
      </c>
      <c r="M9" s="576"/>
      <c r="N9" s="576"/>
      <c r="O9" s="576">
        <f>O8*12</f>
        <v>12</v>
      </c>
      <c r="P9" s="576"/>
      <c r="Q9" s="576"/>
      <c r="R9" s="576">
        <f>R8*12</f>
        <v>0</v>
      </c>
      <c r="S9" s="576"/>
      <c r="T9" s="576"/>
      <c r="U9" s="576">
        <f>U8*12</f>
        <v>0</v>
      </c>
      <c r="V9" s="576"/>
      <c r="W9" s="576"/>
      <c r="X9" s="576">
        <f>X8*12</f>
        <v>0</v>
      </c>
      <c r="Y9" s="576"/>
      <c r="Z9" s="576"/>
      <c r="AA9" s="63"/>
    </row>
    <row r="10" spans="1:45" s="1" customFormat="1" ht="21">
      <c r="A10" s="70"/>
      <c r="B10" s="85"/>
      <c r="C10" s="574" t="s">
        <v>1</v>
      </c>
      <c r="D10" s="574"/>
      <c r="E10" s="574"/>
      <c r="F10" s="574" t="s">
        <v>2</v>
      </c>
      <c r="G10" s="574"/>
      <c r="H10" s="574"/>
      <c r="I10" s="574" t="s">
        <v>3</v>
      </c>
      <c r="J10" s="574"/>
      <c r="K10" s="574"/>
      <c r="L10" s="574" t="s">
        <v>4</v>
      </c>
      <c r="M10" s="574"/>
      <c r="N10" s="574"/>
      <c r="O10" s="574" t="s">
        <v>5</v>
      </c>
      <c r="P10" s="574"/>
      <c r="Q10" s="574"/>
      <c r="R10" s="574" t="s">
        <v>106</v>
      </c>
      <c r="S10" s="574"/>
      <c r="T10" s="574"/>
      <c r="U10" s="574" t="s">
        <v>107</v>
      </c>
      <c r="V10" s="574"/>
      <c r="W10" s="574"/>
      <c r="X10" s="574" t="s">
        <v>108</v>
      </c>
      <c r="Y10" s="574"/>
      <c r="Z10" s="574"/>
      <c r="AA10" s="6" t="s">
        <v>22</v>
      </c>
      <c r="AB10" s="65"/>
    </row>
    <row r="11" spans="1:45" s="1" customFormat="1">
      <c r="A11" s="259" t="s">
        <v>73</v>
      </c>
      <c r="B11" s="444" t="s">
        <v>84</v>
      </c>
      <c r="C11" s="444" t="s">
        <v>74</v>
      </c>
      <c r="D11" s="444" t="s">
        <v>0</v>
      </c>
      <c r="E11" s="444" t="s">
        <v>181</v>
      </c>
      <c r="F11" s="444" t="s">
        <v>74</v>
      </c>
      <c r="G11" s="444" t="s">
        <v>0</v>
      </c>
      <c r="H11" s="444" t="s">
        <v>181</v>
      </c>
      <c r="I11" s="444" t="s">
        <v>74</v>
      </c>
      <c r="J11" s="444" t="s">
        <v>0</v>
      </c>
      <c r="K11" s="444" t="s">
        <v>181</v>
      </c>
      <c r="L11" s="444" t="s">
        <v>74</v>
      </c>
      <c r="M11" s="444" t="s">
        <v>0</v>
      </c>
      <c r="N11" s="444" t="s">
        <v>181</v>
      </c>
      <c r="O11" s="444" t="s">
        <v>74</v>
      </c>
      <c r="P11" s="444" t="s">
        <v>0</v>
      </c>
      <c r="Q11" s="444" t="s">
        <v>181</v>
      </c>
      <c r="R11" s="444" t="s">
        <v>74</v>
      </c>
      <c r="S11" s="444" t="s">
        <v>0</v>
      </c>
      <c r="T11" s="444" t="s">
        <v>181</v>
      </c>
      <c r="U11" s="444" t="s">
        <v>74</v>
      </c>
      <c r="V11" s="444" t="s">
        <v>0</v>
      </c>
      <c r="W11" s="444" t="s">
        <v>181</v>
      </c>
      <c r="X11" s="444" t="s">
        <v>74</v>
      </c>
      <c r="Y11" s="444" t="s">
        <v>0</v>
      </c>
      <c r="Z11" s="444" t="s">
        <v>181</v>
      </c>
      <c r="AA11" s="86"/>
      <c r="AB11" s="63"/>
    </row>
    <row r="12" spans="1:45" s="1" customFormat="1">
      <c r="A12" s="260">
        <f>Budget!A12</f>
        <v>0</v>
      </c>
      <c r="B12" s="261">
        <f>Budget!D12</f>
        <v>0</v>
      </c>
      <c r="C12" s="262">
        <f>Budget!F12</f>
        <v>0</v>
      </c>
      <c r="D12" s="263">
        <f>$C$12*12*C8</f>
        <v>0</v>
      </c>
      <c r="E12" s="264">
        <f>IFERROR(ROUND(MIN(IF(CAP="none",1000000,CAP*D12/$C$9*C$8),B12*D12/$C$9*C$8),0)*(1+B$7)*(1+Budget!C11),"$0.00")+IF(D12&gt;0,-Budget!AG12,"$0.00")</f>
        <v>0</v>
      </c>
      <c r="F12" s="262">
        <f>Budget!I11</f>
        <v>0</v>
      </c>
      <c r="G12" s="263">
        <f>$C$12*12*F8</f>
        <v>0</v>
      </c>
      <c r="H12" s="264">
        <f>IFERROR(ROUND(MIN(IF(CAP="none",1000000,CAP*G12/$F$9*F$8),B12*G12/$F$9*F$8),0)*(1+B$7)^2*(1+Budget!C11),"$0.00")+IF(G12&gt;0,-Budget!AG12,"$0.00")</f>
        <v>0</v>
      </c>
      <c r="I12" s="262">
        <f>Budget!L11</f>
        <v>0</v>
      </c>
      <c r="J12" s="263">
        <f>$C$12*12*I8</f>
        <v>0</v>
      </c>
      <c r="K12" s="264">
        <f>IFERROR(ROUND(MIN(IF(CAP="none",1000000,CAP*J12/$I$9*I$8),B12*J12/$I$9*I$8),0)*(1+B$7)^3*(1+Budget!C11),"$0.00")+IF(J12&gt;0,-Budget!AG12,"$0.00")</f>
        <v>0</v>
      </c>
      <c r="L12" s="262">
        <f>Budget!O11</f>
        <v>0</v>
      </c>
      <c r="M12" s="263">
        <f>$C$12*12*L8</f>
        <v>0</v>
      </c>
      <c r="N12" s="264">
        <f>IFERROR(ROUND(MIN(IF(CAP="none",1000000,CAP*M12/$L$9*L$8),B12*M12/$L$9*L$8),0)*(1+B$7)^4*(1+Budget!C11),"$0.00")+IF(M12&gt;0,-Budget!AG12,"$0.00")</f>
        <v>0</v>
      </c>
      <c r="O12" s="262">
        <f>Budget!R11</f>
        <v>0</v>
      </c>
      <c r="P12" s="263">
        <f>$C$12*12*O8</f>
        <v>0</v>
      </c>
      <c r="Q12" s="264">
        <f>IFERROR(ROUND(MIN(IF(CAP="none",1000000,CAP*P12/$O$9*O$8),B12*P12/$O$9*O$8),0)*(1+B$7)^5*(1+Budget!C11),"$0.00")+IF(P12&gt;0,-Budget!AG12,"$0.00")</f>
        <v>0</v>
      </c>
      <c r="R12" s="262">
        <f>Budget!U11</f>
        <v>0</v>
      </c>
      <c r="S12" s="263">
        <f>$C$12*12*R8</f>
        <v>0</v>
      </c>
      <c r="T12" s="264">
        <f>IFERROR(ROUND(MIN(IF(CAP="none",1000000,CAP*S12/$R$9*R$8),B12*S12/$R$9*R$8),0)*(1+B$7)^6*(1+Budget!C11),"$0.00")+IF(S12&gt;0,-Budget!AG12,"$0.00")</f>
        <v>0</v>
      </c>
      <c r="U12" s="262">
        <f>Budget!X11</f>
        <v>0</v>
      </c>
      <c r="V12" s="263">
        <f>$C$12*12*U8</f>
        <v>0</v>
      </c>
      <c r="W12" s="264">
        <f>IFERROR(ROUND(MIN(IF(CAP="none",1000000,CAP*V12/$U$9*U$8),B12*V12/$U$9*U$8),0)*(1+B$7)^7*(1+Budget!C11),"$0.00")+IF(V12&gt;0,-Budget!AG12,"$0.00")</f>
        <v>0</v>
      </c>
      <c r="X12" s="262">
        <f>Budget!AA11</f>
        <v>0</v>
      </c>
      <c r="Y12" s="263">
        <f>$C$12*12*X8</f>
        <v>0</v>
      </c>
      <c r="Z12" s="264">
        <f>IFERROR(ROUND(MIN(IF(CAP="none",1000000,CAP*Y12/$X$9*X$8),B12*Y12/$X$9*X$8),0)*(1+B$7)^8*(1+Budget!C11),"$0.00")+IF(Y12&gt;0,-Budget!AG12,"$0.00")</f>
        <v>0</v>
      </c>
      <c r="AA12" s="88">
        <f>SUM(E12,H12,K12,N12,Q12,T12,W12,Z12)</f>
        <v>0</v>
      </c>
      <c r="AB12" s="63"/>
    </row>
    <row r="13" spans="1:45" s="1" customFormat="1" ht="15">
      <c r="A13" s="267"/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88"/>
    </row>
    <row r="14" spans="1:45" s="1" customFormat="1" ht="15">
      <c r="A14" s="69"/>
      <c r="B14" s="87"/>
      <c r="C14" s="268" t="s">
        <v>183</v>
      </c>
      <c r="D14" s="269" t="s">
        <v>0</v>
      </c>
      <c r="E14" s="270" t="s">
        <v>184</v>
      </c>
      <c r="F14" s="270"/>
      <c r="G14" s="269" t="s">
        <v>0</v>
      </c>
      <c r="H14" s="270" t="s">
        <v>184</v>
      </c>
      <c r="I14" s="270"/>
      <c r="J14" s="269" t="s">
        <v>0</v>
      </c>
      <c r="K14" s="270" t="s">
        <v>184</v>
      </c>
      <c r="L14" s="270"/>
      <c r="M14" s="269" t="s">
        <v>0</v>
      </c>
      <c r="N14" s="270" t="s">
        <v>184</v>
      </c>
      <c r="O14" s="270"/>
      <c r="P14" s="269" t="s">
        <v>0</v>
      </c>
      <c r="Q14" s="270" t="s">
        <v>184</v>
      </c>
      <c r="R14" s="270"/>
      <c r="S14" s="269" t="s">
        <v>0</v>
      </c>
      <c r="T14" s="270" t="s">
        <v>184</v>
      </c>
      <c r="U14" s="270"/>
      <c r="V14" s="269" t="s">
        <v>0</v>
      </c>
      <c r="W14" s="270" t="s">
        <v>184</v>
      </c>
      <c r="X14" s="270"/>
      <c r="Y14" s="269" t="s">
        <v>0</v>
      </c>
      <c r="Z14" s="270" t="s">
        <v>184</v>
      </c>
      <c r="AA14" s="88"/>
    </row>
    <row r="15" spans="1:45" s="1" customFormat="1" ht="15">
      <c r="A15" s="72" t="s">
        <v>185</v>
      </c>
      <c r="B15" s="74" t="s">
        <v>6</v>
      </c>
      <c r="C15" s="271">
        <v>0</v>
      </c>
      <c r="D15" s="271">
        <v>0</v>
      </c>
      <c r="E15" s="264">
        <f>AD16/AE16*D15*$C15</f>
        <v>0</v>
      </c>
      <c r="F15" s="264"/>
      <c r="G15" s="271">
        <v>0</v>
      </c>
      <c r="H15" s="264">
        <f>AF16/AG16*G15*$C15</f>
        <v>0</v>
      </c>
      <c r="I15" s="264"/>
      <c r="J15" s="271">
        <v>0</v>
      </c>
      <c r="K15" s="264">
        <f>AH16/AI16*J15*$C15</f>
        <v>0</v>
      </c>
      <c r="L15" s="264"/>
      <c r="M15" s="271">
        <v>0</v>
      </c>
      <c r="N15" s="264">
        <f>AJ16/AK16*M15*$C15</f>
        <v>0</v>
      </c>
      <c r="O15" s="264"/>
      <c r="P15" s="271">
        <v>0</v>
      </c>
      <c r="Q15" s="264">
        <f>AL16/AM16*P15*$C15</f>
        <v>0</v>
      </c>
      <c r="R15" s="264"/>
      <c r="S15" s="280">
        <v>0</v>
      </c>
      <c r="T15" s="261">
        <f>AN16/AO16*S15*$C15</f>
        <v>0</v>
      </c>
      <c r="U15" s="264"/>
      <c r="V15" s="280">
        <v>0</v>
      </c>
      <c r="W15" s="261">
        <f>AP16/AQ16*V15*$C15</f>
        <v>0</v>
      </c>
      <c r="X15" s="264"/>
      <c r="Y15" s="280">
        <v>0</v>
      </c>
      <c r="Z15" s="261">
        <f>AR16/AS16*Y15*$C15</f>
        <v>0</v>
      </c>
      <c r="AA15" s="88">
        <f>E15+H15+K15+N15+Q15+T15+W15+Z15</f>
        <v>0</v>
      </c>
      <c r="AC15" s="2" t="s">
        <v>192</v>
      </c>
      <c r="AD15" s="514" t="s">
        <v>1</v>
      </c>
      <c r="AE15" s="514"/>
      <c r="AF15" s="514" t="s">
        <v>2</v>
      </c>
      <c r="AG15" s="514"/>
      <c r="AH15" s="514" t="s">
        <v>3</v>
      </c>
      <c r="AI15" s="514"/>
      <c r="AJ15" s="514" t="s">
        <v>4</v>
      </c>
      <c r="AK15" s="514"/>
      <c r="AL15" s="514" t="s">
        <v>5</v>
      </c>
      <c r="AM15" s="514"/>
      <c r="AN15" s="514" t="s">
        <v>106</v>
      </c>
      <c r="AO15" s="514"/>
      <c r="AP15" s="514" t="s">
        <v>107</v>
      </c>
      <c r="AQ15" s="514"/>
      <c r="AR15" s="514" t="s">
        <v>108</v>
      </c>
      <c r="AS15" s="514"/>
    </row>
    <row r="16" spans="1:45" s="1" customFormat="1" ht="15">
      <c r="A16" s="72"/>
      <c r="B16" s="74" t="s">
        <v>7</v>
      </c>
      <c r="C16" s="271">
        <v>0</v>
      </c>
      <c r="D16" s="271">
        <v>0</v>
      </c>
      <c r="E16" s="264">
        <f>AD17/AE17*D16*$C16</f>
        <v>0</v>
      </c>
      <c r="F16" s="264"/>
      <c r="G16" s="271">
        <v>0</v>
      </c>
      <c r="H16" s="264">
        <f>AF17/AG17*G16*$C16</f>
        <v>0</v>
      </c>
      <c r="I16" s="264"/>
      <c r="J16" s="271">
        <v>0</v>
      </c>
      <c r="K16" s="264">
        <f>AH17/AI17*J16*$C16</f>
        <v>0</v>
      </c>
      <c r="L16" s="264"/>
      <c r="M16" s="271">
        <v>0</v>
      </c>
      <c r="N16" s="264">
        <f>AJ17/AK17*M16*$C16</f>
        <v>0</v>
      </c>
      <c r="O16" s="264"/>
      <c r="P16" s="271">
        <v>0</v>
      </c>
      <c r="Q16" s="264">
        <f>AL17/AM17*P16*$C16</f>
        <v>0</v>
      </c>
      <c r="R16" s="264"/>
      <c r="S16" s="280">
        <v>0</v>
      </c>
      <c r="T16" s="261">
        <f>AN17/AO17*S16*$C16</f>
        <v>0</v>
      </c>
      <c r="U16" s="264"/>
      <c r="V16" s="280">
        <v>0</v>
      </c>
      <c r="W16" s="261">
        <f>AP17/AQ17*V16*$C16</f>
        <v>0</v>
      </c>
      <c r="X16" s="264"/>
      <c r="Y16" s="280">
        <v>0</v>
      </c>
      <c r="Z16" s="261">
        <f>AR17/AS17*Y16*$C16</f>
        <v>0</v>
      </c>
      <c r="AA16" s="88">
        <f t="shared" ref="AA16:AA21" si="0">E16+H16+K16+N16+Q16+T16+W16+Z16</f>
        <v>0</v>
      </c>
      <c r="AC16" s="2" t="s">
        <v>6</v>
      </c>
      <c r="AD16" s="265">
        <v>27000</v>
      </c>
      <c r="AE16" s="266">
        <v>12</v>
      </c>
      <c r="AF16" s="265">
        <f>AD16*1.03</f>
        <v>27810</v>
      </c>
      <c r="AG16" s="266">
        <v>12</v>
      </c>
      <c r="AH16" s="265">
        <f>AF16*1.03</f>
        <v>28644.3</v>
      </c>
      <c r="AI16" s="266">
        <v>12</v>
      </c>
      <c r="AJ16" s="265">
        <f>AH16*1.03</f>
        <v>29503.629000000001</v>
      </c>
      <c r="AK16" s="266">
        <v>12</v>
      </c>
      <c r="AL16" s="265">
        <f>AJ16*1.03</f>
        <v>30388.737870000001</v>
      </c>
      <c r="AM16" s="266">
        <v>12</v>
      </c>
      <c r="AN16" s="265">
        <f>AL16*1.03</f>
        <v>31300.400006100001</v>
      </c>
      <c r="AO16" s="266">
        <v>12</v>
      </c>
      <c r="AP16" s="265">
        <f>AN16*1.03</f>
        <v>32239.412006283001</v>
      </c>
      <c r="AQ16" s="266">
        <v>12</v>
      </c>
      <c r="AR16" s="265">
        <f>AP16*1.03</f>
        <v>33206.594366471494</v>
      </c>
      <c r="AS16" s="266">
        <v>12</v>
      </c>
    </row>
    <row r="17" spans="1:45" s="1" customFormat="1" ht="15">
      <c r="A17" s="72"/>
      <c r="B17" s="76" t="s">
        <v>182</v>
      </c>
      <c r="C17" s="271">
        <v>0</v>
      </c>
      <c r="D17" s="271">
        <v>0</v>
      </c>
      <c r="E17" s="264">
        <f>AD18/AE18*D17*$C17</f>
        <v>0</v>
      </c>
      <c r="F17" s="264"/>
      <c r="G17" s="271">
        <v>0</v>
      </c>
      <c r="H17" s="264">
        <f>AF18/AG18*G17*$C17</f>
        <v>0</v>
      </c>
      <c r="I17" s="264"/>
      <c r="J17" s="271">
        <v>0</v>
      </c>
      <c r="K17" s="264">
        <f>AH18/AI18*J17*$C17</f>
        <v>0</v>
      </c>
      <c r="L17" s="264"/>
      <c r="M17" s="271">
        <v>0</v>
      </c>
      <c r="N17" s="264">
        <f>AJ18/AK18*M17*$C17</f>
        <v>0</v>
      </c>
      <c r="O17" s="264"/>
      <c r="P17" s="271">
        <v>0</v>
      </c>
      <c r="Q17" s="264">
        <f>AL18/AM18*P17*$C17</f>
        <v>0</v>
      </c>
      <c r="R17" s="264"/>
      <c r="S17" s="280">
        <v>0</v>
      </c>
      <c r="T17" s="261">
        <f>AN18/AO18*S17*$C17</f>
        <v>0</v>
      </c>
      <c r="U17" s="264"/>
      <c r="V17" s="280">
        <v>0</v>
      </c>
      <c r="W17" s="261">
        <f>AP18/AQ18*V17*$C17</f>
        <v>0</v>
      </c>
      <c r="X17" s="264"/>
      <c r="Y17" s="280">
        <v>0</v>
      </c>
      <c r="Z17" s="261">
        <f>AR18/AS18*Y17*$C17</f>
        <v>0</v>
      </c>
      <c r="AA17" s="88">
        <f t="shared" si="0"/>
        <v>0</v>
      </c>
      <c r="AC17" s="2" t="s">
        <v>7</v>
      </c>
      <c r="AD17" s="265">
        <v>50000</v>
      </c>
      <c r="AE17" s="2">
        <v>12</v>
      </c>
      <c r="AF17" s="265">
        <f>AD17*1.03</f>
        <v>51500</v>
      </c>
      <c r="AG17" s="2">
        <v>12</v>
      </c>
      <c r="AH17" s="265">
        <f>AF17*1.03</f>
        <v>53045</v>
      </c>
      <c r="AI17" s="2">
        <v>12</v>
      </c>
      <c r="AJ17" s="265">
        <f>AH17*1.03</f>
        <v>54636.35</v>
      </c>
      <c r="AK17" s="2">
        <v>12</v>
      </c>
      <c r="AL17" s="265">
        <f>AJ17*1.03</f>
        <v>56275.440499999997</v>
      </c>
      <c r="AM17" s="266">
        <v>12</v>
      </c>
      <c r="AN17" s="265">
        <f>AL17*1.03</f>
        <v>57963.703714999996</v>
      </c>
      <c r="AO17" s="266">
        <v>12</v>
      </c>
      <c r="AP17" s="265">
        <f>AN17*1.03</f>
        <v>59702.614826450001</v>
      </c>
      <c r="AQ17" s="266">
        <v>12</v>
      </c>
      <c r="AR17" s="265">
        <f>AP17*1.03</f>
        <v>61493.693271243501</v>
      </c>
      <c r="AS17" s="266">
        <v>12</v>
      </c>
    </row>
    <row r="18" spans="1:45" s="1" customFormat="1" ht="15">
      <c r="A18" s="72"/>
      <c r="B18" s="74" t="s">
        <v>9</v>
      </c>
      <c r="C18" s="271">
        <v>0</v>
      </c>
      <c r="D18" s="271">
        <v>0</v>
      </c>
      <c r="E18" s="264">
        <f>AD19/AE19*D18*$C18</f>
        <v>0</v>
      </c>
      <c r="F18" s="264"/>
      <c r="G18" s="271">
        <v>0</v>
      </c>
      <c r="H18" s="264">
        <f>AF19/AG19*G18*$C18</f>
        <v>0</v>
      </c>
      <c r="I18" s="264"/>
      <c r="J18" s="271">
        <v>0</v>
      </c>
      <c r="K18" s="264">
        <f>AH19/AI19*J18*$C18</f>
        <v>0</v>
      </c>
      <c r="L18" s="264"/>
      <c r="M18" s="271">
        <v>0</v>
      </c>
      <c r="N18" s="264">
        <f>AJ19/AK19*M18*$C18</f>
        <v>0</v>
      </c>
      <c r="O18" s="264"/>
      <c r="P18" s="271">
        <v>0</v>
      </c>
      <c r="Q18" s="264">
        <f>AL19/AM19*P18*$C18</f>
        <v>0</v>
      </c>
      <c r="R18" s="264"/>
      <c r="S18" s="280">
        <v>0</v>
      </c>
      <c r="T18" s="261">
        <f>AN19/AO19*S18*$C18</f>
        <v>0</v>
      </c>
      <c r="U18" s="264"/>
      <c r="V18" s="280">
        <v>0</v>
      </c>
      <c r="W18" s="261">
        <f>AP19/AQ19*V18*$C18</f>
        <v>0</v>
      </c>
      <c r="X18" s="264"/>
      <c r="Y18" s="280">
        <v>0</v>
      </c>
      <c r="Z18" s="261">
        <f>AR19/AS19*Y18*$C18</f>
        <v>0</v>
      </c>
      <c r="AA18" s="88">
        <f t="shared" si="0"/>
        <v>0</v>
      </c>
      <c r="AC18" s="2" t="s">
        <v>8</v>
      </c>
      <c r="AD18" s="265">
        <v>8000</v>
      </c>
      <c r="AE18" s="2">
        <v>12</v>
      </c>
      <c r="AF18" s="265">
        <f>AD18*1.03</f>
        <v>8240</v>
      </c>
      <c r="AG18" s="266">
        <v>12</v>
      </c>
      <c r="AH18" s="265">
        <f>AF18*1.03</f>
        <v>8487.2000000000007</v>
      </c>
      <c r="AI18" s="266">
        <v>12</v>
      </c>
      <c r="AJ18" s="265">
        <f>AH18*1.03</f>
        <v>8741.8160000000007</v>
      </c>
      <c r="AK18" s="266">
        <v>12</v>
      </c>
      <c r="AL18" s="265">
        <f>AJ18*1.03</f>
        <v>9004.0704800000003</v>
      </c>
      <c r="AM18" s="266">
        <v>12</v>
      </c>
      <c r="AN18" s="265">
        <f>AL18*1.03</f>
        <v>9274.1925944000013</v>
      </c>
      <c r="AO18" s="266">
        <v>12</v>
      </c>
      <c r="AP18" s="265">
        <f>AN18*1.03</f>
        <v>9552.4183722320013</v>
      </c>
      <c r="AQ18" s="266">
        <v>12</v>
      </c>
      <c r="AR18" s="265">
        <f>AP18*1.03</f>
        <v>9838.990923398962</v>
      </c>
      <c r="AS18" s="266">
        <v>12</v>
      </c>
    </row>
    <row r="19" spans="1:45" s="1" customFormat="1" ht="15">
      <c r="A19" s="72"/>
      <c r="B19" s="74" t="s">
        <v>10</v>
      </c>
      <c r="C19" s="272">
        <v>0</v>
      </c>
      <c r="D19" s="272">
        <v>0</v>
      </c>
      <c r="E19" s="89">
        <f>AD20/AE20*D19*$C19</f>
        <v>0</v>
      </c>
      <c r="F19" s="89"/>
      <c r="G19" s="272">
        <v>0</v>
      </c>
      <c r="H19" s="89">
        <f>AF20/AG20*G19*$C19</f>
        <v>0</v>
      </c>
      <c r="I19" s="89"/>
      <c r="J19" s="272">
        <v>0</v>
      </c>
      <c r="K19" s="89">
        <f>AH20/AI20*J19*$C19</f>
        <v>0</v>
      </c>
      <c r="L19" s="89"/>
      <c r="M19" s="272">
        <v>0</v>
      </c>
      <c r="N19" s="89">
        <f>AJ20/AK20*M19*$C19</f>
        <v>0</v>
      </c>
      <c r="O19" s="89"/>
      <c r="P19" s="272">
        <v>0</v>
      </c>
      <c r="Q19" s="89">
        <f>AL20/AM20*P19*$C19</f>
        <v>0</v>
      </c>
      <c r="R19" s="89"/>
      <c r="S19" s="281">
        <v>0</v>
      </c>
      <c r="T19" s="282">
        <f>AN20/AO20*S19*$C19</f>
        <v>0</v>
      </c>
      <c r="U19" s="89"/>
      <c r="V19" s="281">
        <v>0</v>
      </c>
      <c r="W19" s="282">
        <f>AP20/AQ20*V19*$C19</f>
        <v>0</v>
      </c>
      <c r="X19" s="89"/>
      <c r="Y19" s="281">
        <v>0</v>
      </c>
      <c r="Z19" s="282">
        <f>AR20/AS20*Y19*$C19</f>
        <v>0</v>
      </c>
      <c r="AA19" s="88">
        <f t="shared" si="0"/>
        <v>0</v>
      </c>
      <c r="AC19" s="2" t="s">
        <v>9</v>
      </c>
      <c r="AD19" s="265">
        <v>10000</v>
      </c>
      <c r="AE19" s="2">
        <v>12</v>
      </c>
      <c r="AF19" s="265">
        <f>AD19*1.03</f>
        <v>10300</v>
      </c>
      <c r="AG19" s="2">
        <v>12</v>
      </c>
      <c r="AH19" s="265">
        <f>AF19*1.03</f>
        <v>10609</v>
      </c>
      <c r="AI19" s="2">
        <v>12</v>
      </c>
      <c r="AJ19" s="265">
        <f>AH19*1.03</f>
        <v>10927.27</v>
      </c>
      <c r="AK19" s="2">
        <v>12</v>
      </c>
      <c r="AL19" s="265">
        <f>AJ19*1.03</f>
        <v>11255.088100000001</v>
      </c>
      <c r="AM19" s="266">
        <v>12</v>
      </c>
      <c r="AN19" s="265">
        <f>AL19*1.03</f>
        <v>11592.740743</v>
      </c>
      <c r="AO19" s="266">
        <v>12</v>
      </c>
      <c r="AP19" s="265">
        <f>AN19*1.03</f>
        <v>11940.52296529</v>
      </c>
      <c r="AQ19" s="266">
        <v>12</v>
      </c>
      <c r="AR19" s="265">
        <f>AP19*1.03</f>
        <v>12298.7386542487</v>
      </c>
      <c r="AS19" s="266">
        <v>12</v>
      </c>
    </row>
    <row r="20" spans="1:45" s="1" customFormat="1" ht="15">
      <c r="A20" s="72"/>
      <c r="B20" s="273"/>
      <c r="C20" s="283"/>
      <c r="D20" s="274"/>
      <c r="E20" s="90"/>
      <c r="F20" s="90"/>
      <c r="G20" s="274"/>
      <c r="H20" s="90"/>
      <c r="I20" s="90"/>
      <c r="J20" s="274" t="s">
        <v>186</v>
      </c>
      <c r="K20" s="90"/>
      <c r="L20" s="90"/>
      <c r="M20" s="274"/>
      <c r="N20" s="90"/>
      <c r="O20" s="90"/>
      <c r="P20" s="274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88"/>
      <c r="AC20" s="2" t="s">
        <v>10</v>
      </c>
      <c r="AD20" s="265">
        <v>10000</v>
      </c>
      <c r="AE20" s="2">
        <v>12</v>
      </c>
      <c r="AF20" s="265">
        <f>AD20*1.03</f>
        <v>10300</v>
      </c>
      <c r="AG20" s="266">
        <v>12</v>
      </c>
      <c r="AH20" s="265">
        <f>AF20*1.03</f>
        <v>10609</v>
      </c>
      <c r="AI20" s="266">
        <v>12</v>
      </c>
      <c r="AJ20" s="265">
        <f>AH20*1.03</f>
        <v>10927.27</v>
      </c>
      <c r="AK20" s="266">
        <v>12</v>
      </c>
      <c r="AL20" s="265">
        <f>AJ20*1.03</f>
        <v>11255.088100000001</v>
      </c>
      <c r="AM20" s="266">
        <v>12</v>
      </c>
      <c r="AN20" s="265">
        <f>AL20*1.03</f>
        <v>11592.740743</v>
      </c>
      <c r="AO20" s="266">
        <v>12</v>
      </c>
      <c r="AP20" s="265">
        <f>AN20*1.03</f>
        <v>11940.52296529</v>
      </c>
      <c r="AQ20" s="266">
        <v>12</v>
      </c>
      <c r="AR20" s="265">
        <f>AP20*1.03</f>
        <v>12298.7386542487</v>
      </c>
      <c r="AS20" s="266">
        <v>12</v>
      </c>
    </row>
    <row r="21" spans="1:45" s="1" customFormat="1" ht="15">
      <c r="A21" s="72"/>
      <c r="B21" s="74"/>
      <c r="C21" s="275" t="s">
        <v>187</v>
      </c>
      <c r="D21" s="69"/>
      <c r="E21" s="91">
        <f>SUM(E15:E19)</f>
        <v>0</v>
      </c>
      <c r="F21" s="91"/>
      <c r="G21" s="69"/>
      <c r="H21" s="91">
        <f>SUM(H15:H19)</f>
        <v>0</v>
      </c>
      <c r="I21" s="91"/>
      <c r="J21" s="69"/>
      <c r="K21" s="91">
        <f>SUM(K15:K19)</f>
        <v>0</v>
      </c>
      <c r="L21" s="91"/>
      <c r="M21" s="69"/>
      <c r="N21" s="91">
        <f>SUM(N15:N19)</f>
        <v>0</v>
      </c>
      <c r="O21" s="91"/>
      <c r="P21" s="69"/>
      <c r="Q21" s="91">
        <f>SUM(Q15:Q19)</f>
        <v>0</v>
      </c>
      <c r="R21" s="91"/>
      <c r="S21" s="91"/>
      <c r="T21" s="91">
        <f t="shared" ref="T21:Z21" si="1">SUM(T15:T19)</f>
        <v>0</v>
      </c>
      <c r="U21" s="91"/>
      <c r="V21" s="91"/>
      <c r="W21" s="91">
        <f t="shared" si="1"/>
        <v>0</v>
      </c>
      <c r="X21" s="91"/>
      <c r="Y21" s="91"/>
      <c r="Z21" s="91">
        <f t="shared" si="1"/>
        <v>0</v>
      </c>
      <c r="AA21" s="88">
        <f t="shared" si="0"/>
        <v>0</v>
      </c>
    </row>
    <row r="22" spans="1:45" s="1" customFormat="1" ht="15">
      <c r="A22" s="72"/>
      <c r="B22" s="74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8"/>
    </row>
    <row r="23" spans="1:45" s="1" customFormat="1" ht="15">
      <c r="A23" s="72"/>
      <c r="B23" s="74"/>
      <c r="C23" s="275" t="s">
        <v>188</v>
      </c>
      <c r="D23" s="69"/>
      <c r="E23" s="91">
        <f>E12+E21</f>
        <v>0</v>
      </c>
      <c r="F23" s="91"/>
      <c r="G23" s="91"/>
      <c r="H23" s="91">
        <f>H12+H21</f>
        <v>0</v>
      </c>
      <c r="I23" s="91"/>
      <c r="J23" s="91"/>
      <c r="K23" s="91">
        <f>K12+K21</f>
        <v>0</v>
      </c>
      <c r="L23" s="91"/>
      <c r="M23" s="91"/>
      <c r="N23" s="91">
        <f>N12+N21</f>
        <v>0</v>
      </c>
      <c r="O23" s="91"/>
      <c r="P23" s="91"/>
      <c r="Q23" s="91">
        <f>Q12+Q21</f>
        <v>0</v>
      </c>
      <c r="R23" s="91"/>
      <c r="S23" s="91"/>
      <c r="T23" s="91">
        <f>T12+T21</f>
        <v>0</v>
      </c>
      <c r="U23" s="91"/>
      <c r="V23" s="91"/>
      <c r="W23" s="91">
        <f>W12+W21</f>
        <v>0</v>
      </c>
      <c r="X23" s="91"/>
      <c r="Y23" s="91"/>
      <c r="Z23" s="91">
        <f>Z12+Z21</f>
        <v>0</v>
      </c>
      <c r="AA23" s="88">
        <f>E23+H23+K23+N23+Q23+T23+W23+Z23</f>
        <v>0</v>
      </c>
    </row>
    <row r="24" spans="1:45" s="1" customFormat="1" ht="15">
      <c r="A24" s="72"/>
      <c r="B24" s="74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8"/>
    </row>
    <row r="25" spans="1:45" s="1" customFormat="1" ht="15">
      <c r="A25" s="72"/>
      <c r="B25" s="74"/>
      <c r="C25" s="268" t="s">
        <v>12</v>
      </c>
      <c r="D25" s="87"/>
      <c r="E25" s="258" t="s">
        <v>189</v>
      </c>
      <c r="F25" s="258"/>
      <c r="G25" s="87"/>
      <c r="H25" s="258" t="s">
        <v>189</v>
      </c>
      <c r="I25" s="258"/>
      <c r="J25" s="87"/>
      <c r="K25" s="258" t="s">
        <v>189</v>
      </c>
      <c r="L25" s="258"/>
      <c r="M25" s="87"/>
      <c r="N25" s="258" t="s">
        <v>189</v>
      </c>
      <c r="O25" s="258"/>
      <c r="P25" s="87"/>
      <c r="Q25" s="258" t="s">
        <v>189</v>
      </c>
      <c r="R25" s="258"/>
      <c r="S25" s="258"/>
      <c r="T25" s="258" t="s">
        <v>189</v>
      </c>
      <c r="U25" s="258"/>
      <c r="V25" s="258"/>
      <c r="W25" s="258" t="s">
        <v>189</v>
      </c>
      <c r="X25" s="258"/>
      <c r="Y25" s="258"/>
      <c r="Z25" s="258" t="s">
        <v>189</v>
      </c>
      <c r="AA25" s="276"/>
    </row>
    <row r="26" spans="1:45" s="1" customFormat="1" ht="15">
      <c r="A26" s="277" t="s">
        <v>205</v>
      </c>
      <c r="B26" s="74" t="s">
        <v>11</v>
      </c>
      <c r="C26" s="278">
        <f>'Effort and OPS Salary'!C28</f>
        <v>0</v>
      </c>
      <c r="D26" s="87"/>
      <c r="E26" s="96" t="str">
        <f>IFERROR(ROUND(MIN(IF(CAP="none",1000000,CAP*D12/$C$9*C$8),B12*D12/$C$9*C$8),0)*(1+B$7)*Budget!C11,"$0")</f>
        <v>$0</v>
      </c>
      <c r="F26" s="96"/>
      <c r="G26" s="96"/>
      <c r="H26" s="96" t="str">
        <f>IFERROR(ROUND(MIN(IF(CAP="none",1000000,CAP*G12/$F$9*F$8),B12*G12/$F$9*F$8),0)*(1+B$7)^2*Budget!C11,"$0")</f>
        <v>$0</v>
      </c>
      <c r="I26" s="96"/>
      <c r="J26" s="96"/>
      <c r="K26" s="96" t="str">
        <f>IFERROR(ROUND(MIN(IF(CAP="none",1000000,CAP*J12/$I$9*I$8),B12*J12/$I$9*I$8),0)*(1+B$7)^3*Budget!C11,"$0")</f>
        <v>$0</v>
      </c>
      <c r="L26" s="96"/>
      <c r="M26" s="96"/>
      <c r="N26" s="452" t="str">
        <f>IFERROR(ROUND(MIN(IF(CAP="none",1000000,CAP*M12/$L$9*L$8),B12*M12/$L$9*L$8),0)*(1+B$7)^4*Budget!C11,"$0")</f>
        <v>$0</v>
      </c>
      <c r="O26" s="96"/>
      <c r="P26" s="96"/>
      <c r="Q26" s="96" t="str">
        <f>IFERROR(ROUND(MIN(IF(CAP="none",1000000,CAP*P12/$O$9*O$8),B12*P12/$O$9*O$8),0)*(1+B$7)^5*Budget!C11,"$0")</f>
        <v>$0</v>
      </c>
      <c r="R26" s="96"/>
      <c r="S26" s="96"/>
      <c r="T26" s="96" t="str">
        <f>IFERROR(ROUND(MIN(IF(CAP="none",1000000,CAP*S12/$R$9*R$8),B12*S12/$R$9*R$8),0)*(1+B$7)^6*Budget!C11,"$0")</f>
        <v>$0</v>
      </c>
      <c r="U26" s="96"/>
      <c r="V26" s="96"/>
      <c r="W26" s="96" t="str">
        <f>IFERROR(ROUND(MIN(IF(CAP="none",1000000,CAP*V12/$U$9*U$8),B12*V12/$U$9*U$8),0)*(1+B$7)^7*Budget!C11,"$0")</f>
        <v>$0</v>
      </c>
      <c r="X26" s="96"/>
      <c r="Y26" s="96"/>
      <c r="Z26" s="96" t="str">
        <f>IFERROR(ROUND(MIN(IF(CAP="none",1000000,CAP*Y12/$X$9*X$8),B12*Y12/$X$9*X$8),0)*(1+B$7)^8*Budget!C11,"$0")</f>
        <v>$0</v>
      </c>
      <c r="AA26" s="88">
        <f>E26+H26+K26+N26+Q26+T26+W26+Z26</f>
        <v>0</v>
      </c>
    </row>
    <row r="27" spans="1:45" s="1" customFormat="1" ht="15">
      <c r="A27" s="72"/>
      <c r="B27" s="74" t="s">
        <v>6</v>
      </c>
      <c r="C27" s="278">
        <f>'Effort and OPS Salary'!C34</f>
        <v>0</v>
      </c>
      <c r="D27" s="87"/>
      <c r="E27" s="96">
        <f>E15*$C27</f>
        <v>0</v>
      </c>
      <c r="F27" s="96"/>
      <c r="G27" s="96"/>
      <c r="H27" s="96">
        <f>H15*$C27</f>
        <v>0</v>
      </c>
      <c r="I27" s="96"/>
      <c r="J27" s="96"/>
      <c r="K27" s="96">
        <f>K15*$C27</f>
        <v>0</v>
      </c>
      <c r="L27" s="96"/>
      <c r="M27" s="96"/>
      <c r="N27" s="96">
        <f>N15*$C27</f>
        <v>0</v>
      </c>
      <c r="O27" s="96"/>
      <c r="P27" s="96"/>
      <c r="Q27" s="96">
        <f>Q15*$C27</f>
        <v>0</v>
      </c>
      <c r="R27" s="264"/>
      <c r="S27" s="264"/>
      <c r="T27" s="264">
        <f>T15*$C27</f>
        <v>0</v>
      </c>
      <c r="U27" s="264"/>
      <c r="V27" s="264"/>
      <c r="W27" s="264">
        <f>W15*$C27</f>
        <v>0</v>
      </c>
      <c r="X27" s="264"/>
      <c r="Y27" s="264"/>
      <c r="Z27" s="264">
        <f>Z15*$C27</f>
        <v>0</v>
      </c>
      <c r="AA27" s="88">
        <f t="shared" ref="AA27:AA32" si="2">E27+H27+K27+N27+Q27+T27+W27+Z27</f>
        <v>0</v>
      </c>
    </row>
    <row r="28" spans="1:45" s="1" customFormat="1" ht="15">
      <c r="A28" s="72"/>
      <c r="B28" s="74" t="s">
        <v>7</v>
      </c>
      <c r="C28" s="278">
        <f>'Effort and OPS Salary'!C33</f>
        <v>0</v>
      </c>
      <c r="D28" s="87"/>
      <c r="E28" s="96">
        <f>E16*$C28</f>
        <v>0</v>
      </c>
      <c r="F28" s="96"/>
      <c r="G28" s="96"/>
      <c r="H28" s="96">
        <f>H16*$C28</f>
        <v>0</v>
      </c>
      <c r="I28" s="96"/>
      <c r="J28" s="96"/>
      <c r="K28" s="96">
        <f>K16*$C28</f>
        <v>0</v>
      </c>
      <c r="L28" s="96"/>
      <c r="M28" s="96"/>
      <c r="N28" s="96">
        <f>N16*$C28</f>
        <v>0</v>
      </c>
      <c r="O28" s="96"/>
      <c r="P28" s="96"/>
      <c r="Q28" s="96">
        <f>Q16*$C28</f>
        <v>0</v>
      </c>
      <c r="R28" s="264"/>
      <c r="S28" s="264"/>
      <c r="T28" s="264">
        <f>T16*$C28</f>
        <v>0</v>
      </c>
      <c r="U28" s="264"/>
      <c r="V28" s="264"/>
      <c r="W28" s="264">
        <f>W16*$C28</f>
        <v>0</v>
      </c>
      <c r="X28" s="264"/>
      <c r="Y28" s="264"/>
      <c r="Z28" s="264">
        <f>Z16*$C28</f>
        <v>0</v>
      </c>
      <c r="AA28" s="88">
        <f t="shared" si="2"/>
        <v>0</v>
      </c>
    </row>
    <row r="29" spans="1:45" s="1" customFormat="1" ht="15">
      <c r="A29" s="72"/>
      <c r="B29" s="74" t="s">
        <v>182</v>
      </c>
      <c r="C29" s="278">
        <f>'Effort and OPS Salary'!C36</f>
        <v>0</v>
      </c>
      <c r="D29" s="87"/>
      <c r="E29" s="96">
        <f>E17*$C29</f>
        <v>0</v>
      </c>
      <c r="F29" s="96"/>
      <c r="G29" s="96"/>
      <c r="H29" s="96">
        <f>H17*$C29</f>
        <v>0</v>
      </c>
      <c r="I29" s="96"/>
      <c r="J29" s="96"/>
      <c r="K29" s="96">
        <f>K17*$C29</f>
        <v>0</v>
      </c>
      <c r="L29" s="96"/>
      <c r="M29" s="96"/>
      <c r="N29" s="96">
        <f>N17*$C29</f>
        <v>0</v>
      </c>
      <c r="O29" s="96"/>
      <c r="P29" s="96"/>
      <c r="Q29" s="96">
        <f>Q17*$C29</f>
        <v>0</v>
      </c>
      <c r="R29" s="264"/>
      <c r="S29" s="264"/>
      <c r="T29" s="264">
        <f>T17*$C29</f>
        <v>0</v>
      </c>
      <c r="U29" s="264"/>
      <c r="V29" s="264"/>
      <c r="W29" s="264">
        <f>W17*$C29</f>
        <v>0</v>
      </c>
      <c r="X29" s="264"/>
      <c r="Y29" s="264"/>
      <c r="Z29" s="264">
        <f>Z17*$C29</f>
        <v>0</v>
      </c>
      <c r="AA29" s="88">
        <f t="shared" si="2"/>
        <v>0</v>
      </c>
    </row>
    <row r="30" spans="1:45" s="1" customFormat="1" ht="15">
      <c r="A30" s="72"/>
      <c r="B30" s="74" t="s">
        <v>9</v>
      </c>
      <c r="C30" s="278">
        <f>'Effort and OPS Salary'!C30</f>
        <v>0</v>
      </c>
      <c r="D30" s="87"/>
      <c r="E30" s="96">
        <f>E18*$C30</f>
        <v>0</v>
      </c>
      <c r="F30" s="96"/>
      <c r="G30" s="96"/>
      <c r="H30" s="96">
        <f>H18*$C30</f>
        <v>0</v>
      </c>
      <c r="I30" s="96"/>
      <c r="J30" s="96"/>
      <c r="K30" s="96">
        <f>K18*$C30</f>
        <v>0</v>
      </c>
      <c r="L30" s="96"/>
      <c r="M30" s="96"/>
      <c r="N30" s="96">
        <f>N18*$C30</f>
        <v>0</v>
      </c>
      <c r="O30" s="96"/>
      <c r="P30" s="96"/>
      <c r="Q30" s="96">
        <f>Q18*$C30</f>
        <v>0</v>
      </c>
      <c r="R30" s="264"/>
      <c r="S30" s="264"/>
      <c r="T30" s="264">
        <f>T18*$C30</f>
        <v>0</v>
      </c>
      <c r="U30" s="264"/>
      <c r="V30" s="264"/>
      <c r="W30" s="264">
        <f>W18*$C30</f>
        <v>0</v>
      </c>
      <c r="X30" s="264"/>
      <c r="Y30" s="264"/>
      <c r="Z30" s="264">
        <f>Z18*$C30</f>
        <v>0</v>
      </c>
      <c r="AA30" s="88">
        <f t="shared" si="2"/>
        <v>0</v>
      </c>
    </row>
    <row r="31" spans="1:45" s="1" customFormat="1" ht="15">
      <c r="A31" s="72"/>
      <c r="B31" s="74" t="s">
        <v>10</v>
      </c>
      <c r="C31" s="278">
        <f>'Effort and OPS Salary'!C31</f>
        <v>0</v>
      </c>
      <c r="D31" s="87"/>
      <c r="E31" s="97">
        <f>E19*$C31</f>
        <v>0</v>
      </c>
      <c r="F31" s="97"/>
      <c r="G31" s="97"/>
      <c r="H31" s="97">
        <f>H19*$C31</f>
        <v>0</v>
      </c>
      <c r="I31" s="97"/>
      <c r="J31" s="97"/>
      <c r="K31" s="97">
        <f>K19*$C31</f>
        <v>0</v>
      </c>
      <c r="L31" s="97"/>
      <c r="M31" s="97"/>
      <c r="N31" s="97">
        <f>N19*$C31</f>
        <v>0</v>
      </c>
      <c r="O31" s="97"/>
      <c r="P31" s="97"/>
      <c r="Q31" s="97">
        <f>Q19*$C31</f>
        <v>0</v>
      </c>
      <c r="R31" s="89"/>
      <c r="S31" s="89"/>
      <c r="T31" s="89">
        <f>T19*$C31</f>
        <v>0</v>
      </c>
      <c r="U31" s="89"/>
      <c r="V31" s="89"/>
      <c r="W31" s="89">
        <f>W19*$C31</f>
        <v>0</v>
      </c>
      <c r="X31" s="89"/>
      <c r="Y31" s="89"/>
      <c r="Z31" s="89">
        <f>Z19*$C31</f>
        <v>0</v>
      </c>
      <c r="AA31" s="88">
        <f t="shared" si="2"/>
        <v>0</v>
      </c>
    </row>
    <row r="32" spans="1:45" s="1" customFormat="1" ht="15">
      <c r="A32" s="72"/>
      <c r="B32" s="74"/>
      <c r="C32" s="275" t="s">
        <v>190</v>
      </c>
      <c r="D32" s="87"/>
      <c r="E32" s="91">
        <f>SUM(E26:E31)</f>
        <v>0</v>
      </c>
      <c r="F32" s="91"/>
      <c r="G32" s="69"/>
      <c r="H32" s="91">
        <f>SUM(H26:H31)</f>
        <v>0</v>
      </c>
      <c r="I32" s="91"/>
      <c r="J32" s="69"/>
      <c r="K32" s="91">
        <f>SUM(K26:K31)</f>
        <v>0</v>
      </c>
      <c r="L32" s="91"/>
      <c r="M32" s="69"/>
      <c r="N32" s="91">
        <f>SUM(N26:N31)</f>
        <v>0</v>
      </c>
      <c r="O32" s="91"/>
      <c r="P32" s="69"/>
      <c r="Q32" s="91">
        <f>SUM(Q26:Q31)</f>
        <v>0</v>
      </c>
      <c r="R32" s="91"/>
      <c r="S32" s="91"/>
      <c r="T32" s="91">
        <f t="shared" ref="T32:Z32" si="3">SUM(T26:T31)</f>
        <v>0</v>
      </c>
      <c r="U32" s="91"/>
      <c r="V32" s="91"/>
      <c r="W32" s="91">
        <f t="shared" si="3"/>
        <v>0</v>
      </c>
      <c r="X32" s="91"/>
      <c r="Y32" s="91"/>
      <c r="Z32" s="91">
        <f t="shared" si="3"/>
        <v>0</v>
      </c>
      <c r="AA32" s="450">
        <f t="shared" si="2"/>
        <v>0</v>
      </c>
    </row>
    <row r="33" spans="1:28" s="1" customFormat="1" ht="15">
      <c r="A33" s="72"/>
      <c r="B33" s="74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8"/>
    </row>
    <row r="34" spans="1:28" s="1" customFormat="1" ht="15">
      <c r="A34" s="72"/>
      <c r="B34" s="74"/>
      <c r="C34" s="92" t="s">
        <v>191</v>
      </c>
      <c r="D34" s="93"/>
      <c r="E34" s="94">
        <f>E23+E32</f>
        <v>0</v>
      </c>
      <c r="F34" s="94"/>
      <c r="G34" s="94"/>
      <c r="H34" s="94">
        <f>H23+H32</f>
        <v>0</v>
      </c>
      <c r="I34" s="94"/>
      <c r="J34" s="93"/>
      <c r="K34" s="94">
        <f>K23+K32</f>
        <v>0</v>
      </c>
      <c r="L34" s="94"/>
      <c r="M34" s="94"/>
      <c r="N34" s="94">
        <f>N23+N32</f>
        <v>0</v>
      </c>
      <c r="O34" s="94"/>
      <c r="P34" s="94"/>
      <c r="Q34" s="94">
        <f>Q23+Q32</f>
        <v>0</v>
      </c>
      <c r="R34" s="94"/>
      <c r="S34" s="94"/>
      <c r="T34" s="94">
        <f>T23+T32</f>
        <v>0</v>
      </c>
      <c r="U34" s="94"/>
      <c r="V34" s="94"/>
      <c r="W34" s="94">
        <f>W23+W32</f>
        <v>0</v>
      </c>
      <c r="X34" s="94"/>
      <c r="Y34" s="94"/>
      <c r="Z34" s="94">
        <f>Z23+Z32</f>
        <v>0</v>
      </c>
      <c r="AA34" s="88">
        <f>E34+H34+K34+N34+Q34+T34+W34+Z34</f>
        <v>0</v>
      </c>
    </row>
    <row r="35" spans="1:28" s="1" customFormat="1" ht="15">
      <c r="A35" s="72"/>
      <c r="B35" s="74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8"/>
    </row>
    <row r="36" spans="1:28" s="1" customFormat="1" ht="15">
      <c r="A36" s="72"/>
      <c r="B36" s="74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95"/>
    </row>
    <row r="37" spans="1:28" s="1" customFormat="1" ht="15">
      <c r="A37" s="72" t="s">
        <v>25</v>
      </c>
      <c r="B37" s="72"/>
      <c r="C37" s="74" t="str">
        <f>IF(Budget!F36&lt;&gt;"",Budget!F36,"")</f>
        <v>Materials &amp; Supplies</v>
      </c>
      <c r="D37" s="87"/>
      <c r="E37" s="96">
        <v>0</v>
      </c>
      <c r="F37" s="96"/>
      <c r="G37" s="96"/>
      <c r="H37" s="96">
        <v>0</v>
      </c>
      <c r="I37" s="96"/>
      <c r="J37" s="96"/>
      <c r="K37" s="96">
        <v>0</v>
      </c>
      <c r="L37" s="96"/>
      <c r="M37" s="96"/>
      <c r="N37" s="96">
        <v>0</v>
      </c>
      <c r="O37" s="96"/>
      <c r="P37" s="96"/>
      <c r="Q37" s="96">
        <v>0</v>
      </c>
      <c r="R37" s="96"/>
      <c r="S37" s="96"/>
      <c r="T37" s="96">
        <v>0</v>
      </c>
      <c r="U37" s="96"/>
      <c r="V37" s="96"/>
      <c r="W37" s="96">
        <v>0</v>
      </c>
      <c r="X37" s="96"/>
      <c r="Y37" s="96"/>
      <c r="Z37" s="96">
        <v>0</v>
      </c>
      <c r="AA37" s="88">
        <f>E37+H37+K37+N37+Q37+T37+W37+Z37</f>
        <v>0</v>
      </c>
    </row>
    <row r="38" spans="1:28" s="1" customFormat="1" ht="15">
      <c r="A38" s="72"/>
      <c r="B38" s="72"/>
      <c r="C38" s="74" t="str">
        <f>IF(Budget!F37&lt;&gt;"",Budget!F37,"")</f>
        <v>Other Expenses</v>
      </c>
      <c r="D38" s="87"/>
      <c r="E38" s="96">
        <v>0</v>
      </c>
      <c r="F38" s="96"/>
      <c r="G38" s="96"/>
      <c r="H38" s="96">
        <v>0</v>
      </c>
      <c r="I38" s="96"/>
      <c r="J38" s="96"/>
      <c r="K38" s="96">
        <v>0</v>
      </c>
      <c r="L38" s="96"/>
      <c r="M38" s="96"/>
      <c r="N38" s="96">
        <v>0</v>
      </c>
      <c r="O38" s="96"/>
      <c r="P38" s="96"/>
      <c r="Q38" s="96">
        <v>0</v>
      </c>
      <c r="R38" s="96"/>
      <c r="S38" s="96"/>
      <c r="T38" s="96">
        <v>0</v>
      </c>
      <c r="U38" s="96"/>
      <c r="V38" s="96"/>
      <c r="W38" s="96">
        <v>0</v>
      </c>
      <c r="X38" s="96"/>
      <c r="Y38" s="96"/>
      <c r="Z38" s="96">
        <v>0</v>
      </c>
      <c r="AA38" s="88">
        <f t="shared" ref="AA38:AA47" si="4">E38+H38+K38+N38+Q38+T38+W38+Z38</f>
        <v>0</v>
      </c>
    </row>
    <row r="39" spans="1:28" s="1" customFormat="1" ht="15">
      <c r="A39" s="72"/>
      <c r="B39" s="72"/>
      <c r="C39" s="74" t="str">
        <f>IF(Budget!F38&lt;&gt;"",Budget!F38,"")</f>
        <v>Domestic Travel</v>
      </c>
      <c r="D39" s="87"/>
      <c r="E39" s="96">
        <v>0</v>
      </c>
      <c r="F39" s="96"/>
      <c r="G39" s="96"/>
      <c r="H39" s="96">
        <v>0</v>
      </c>
      <c r="I39" s="96"/>
      <c r="J39" s="96"/>
      <c r="K39" s="96">
        <v>0</v>
      </c>
      <c r="L39" s="96"/>
      <c r="M39" s="96"/>
      <c r="N39" s="96">
        <v>0</v>
      </c>
      <c r="O39" s="96"/>
      <c r="P39" s="96"/>
      <c r="Q39" s="96">
        <v>0</v>
      </c>
      <c r="R39" s="96"/>
      <c r="S39" s="96"/>
      <c r="T39" s="96">
        <v>0</v>
      </c>
      <c r="U39" s="96"/>
      <c r="V39" s="96"/>
      <c r="W39" s="96">
        <v>0</v>
      </c>
      <c r="X39" s="96"/>
      <c r="Y39" s="96"/>
      <c r="Z39" s="96">
        <v>0</v>
      </c>
      <c r="AA39" s="88">
        <f t="shared" si="4"/>
        <v>0</v>
      </c>
    </row>
    <row r="40" spans="1:28" s="1" customFormat="1" ht="15">
      <c r="A40" s="72"/>
      <c r="B40" s="72"/>
      <c r="C40" s="74" t="str">
        <f>IF(Budget!F39&lt;&gt;"",Budget!F39,"")</f>
        <v>Publication Costs</v>
      </c>
      <c r="D40" s="87"/>
      <c r="E40" s="96">
        <v>0</v>
      </c>
      <c r="F40" s="96"/>
      <c r="G40" s="96"/>
      <c r="H40" s="96">
        <v>0</v>
      </c>
      <c r="I40" s="96"/>
      <c r="J40" s="96"/>
      <c r="K40" s="96">
        <v>0</v>
      </c>
      <c r="L40" s="96"/>
      <c r="M40" s="96"/>
      <c r="N40" s="96">
        <v>0</v>
      </c>
      <c r="O40" s="96"/>
      <c r="P40" s="96"/>
      <c r="Q40" s="96">
        <v>0</v>
      </c>
      <c r="R40" s="96"/>
      <c r="S40" s="96"/>
      <c r="T40" s="96">
        <v>0</v>
      </c>
      <c r="U40" s="96"/>
      <c r="V40" s="96"/>
      <c r="W40" s="96">
        <v>0</v>
      </c>
      <c r="X40" s="96"/>
      <c r="Y40" s="96"/>
      <c r="Z40" s="96">
        <v>0</v>
      </c>
      <c r="AA40" s="88">
        <f t="shared" si="4"/>
        <v>0</v>
      </c>
    </row>
    <row r="41" spans="1:28" s="1" customFormat="1" ht="15">
      <c r="A41" s="72"/>
      <c r="B41" s="72"/>
      <c r="C41" s="74" t="str">
        <f>IF(Budget!F40&lt;&gt;"",Budget!F40,"")</f>
        <v>Animal</v>
      </c>
      <c r="D41" s="87"/>
      <c r="E41" s="96">
        <v>0</v>
      </c>
      <c r="F41" s="96"/>
      <c r="G41" s="96"/>
      <c r="H41" s="96">
        <v>0</v>
      </c>
      <c r="I41" s="96"/>
      <c r="J41" s="96"/>
      <c r="K41" s="96">
        <v>0</v>
      </c>
      <c r="L41" s="96"/>
      <c r="M41" s="96"/>
      <c r="N41" s="96">
        <v>0</v>
      </c>
      <c r="O41" s="96"/>
      <c r="P41" s="96"/>
      <c r="Q41" s="96">
        <v>0</v>
      </c>
      <c r="R41" s="96"/>
      <c r="S41" s="96"/>
      <c r="T41" s="96">
        <v>0</v>
      </c>
      <c r="U41" s="96"/>
      <c r="V41" s="96"/>
      <c r="W41" s="96">
        <v>0</v>
      </c>
      <c r="X41" s="96"/>
      <c r="Y41" s="96"/>
      <c r="Z41" s="96">
        <v>0</v>
      </c>
      <c r="AA41" s="88">
        <f t="shared" si="4"/>
        <v>0</v>
      </c>
    </row>
    <row r="42" spans="1:28" s="1" customFormat="1" ht="15" hidden="1" outlineLevel="1">
      <c r="A42" s="72"/>
      <c r="B42" s="72"/>
      <c r="C42" s="74" t="str">
        <f>IF(Budget!F41&lt;&gt;"",Budget!F41,"")</f>
        <v/>
      </c>
      <c r="D42" s="87"/>
      <c r="E42" s="96">
        <v>0</v>
      </c>
      <c r="F42" s="96"/>
      <c r="G42" s="96"/>
      <c r="H42" s="96">
        <v>0</v>
      </c>
      <c r="I42" s="96"/>
      <c r="J42" s="96"/>
      <c r="K42" s="96">
        <v>0</v>
      </c>
      <c r="L42" s="96"/>
      <c r="M42" s="96"/>
      <c r="N42" s="96">
        <v>0</v>
      </c>
      <c r="O42" s="96"/>
      <c r="P42" s="96"/>
      <c r="Q42" s="96">
        <v>0</v>
      </c>
      <c r="R42" s="96"/>
      <c r="S42" s="96"/>
      <c r="T42" s="96">
        <v>0</v>
      </c>
      <c r="U42" s="96"/>
      <c r="V42" s="96"/>
      <c r="W42" s="96">
        <v>0</v>
      </c>
      <c r="X42" s="96"/>
      <c r="Y42" s="96"/>
      <c r="Z42" s="96">
        <v>0</v>
      </c>
      <c r="AA42" s="88">
        <f t="shared" si="4"/>
        <v>0</v>
      </c>
    </row>
    <row r="43" spans="1:28" s="1" customFormat="1" ht="15" hidden="1" outlineLevel="1">
      <c r="A43" s="72"/>
      <c r="B43" s="72"/>
      <c r="C43" s="74" t="str">
        <f>IF(Budget!F42&lt;&gt;"",Budget!F42,"")</f>
        <v/>
      </c>
      <c r="D43" s="87"/>
      <c r="E43" s="96">
        <v>0</v>
      </c>
      <c r="F43" s="96"/>
      <c r="G43" s="96"/>
      <c r="H43" s="96">
        <v>0</v>
      </c>
      <c r="I43" s="96"/>
      <c r="J43" s="96"/>
      <c r="K43" s="96">
        <v>0</v>
      </c>
      <c r="L43" s="96"/>
      <c r="M43" s="96"/>
      <c r="N43" s="96">
        <v>0</v>
      </c>
      <c r="O43" s="96"/>
      <c r="P43" s="96"/>
      <c r="Q43" s="96">
        <v>0</v>
      </c>
      <c r="R43" s="96"/>
      <c r="S43" s="96"/>
      <c r="T43" s="96">
        <v>0</v>
      </c>
      <c r="U43" s="96"/>
      <c r="V43" s="96"/>
      <c r="W43" s="96">
        <v>0</v>
      </c>
      <c r="X43" s="96"/>
      <c r="Y43" s="96"/>
      <c r="Z43" s="96">
        <v>0</v>
      </c>
      <c r="AA43" s="88">
        <f t="shared" si="4"/>
        <v>0</v>
      </c>
    </row>
    <row r="44" spans="1:28" s="1" customFormat="1" ht="15" hidden="1" outlineLevel="1">
      <c r="A44" s="72"/>
      <c r="B44" s="72"/>
      <c r="C44" s="74" t="str">
        <f>IF(Budget!F43&lt;&gt;"",Budget!F43,"")</f>
        <v/>
      </c>
      <c r="D44" s="87"/>
      <c r="E44" s="96">
        <v>0</v>
      </c>
      <c r="F44" s="96"/>
      <c r="G44" s="96"/>
      <c r="H44" s="96">
        <v>0</v>
      </c>
      <c r="I44" s="96"/>
      <c r="J44" s="96"/>
      <c r="K44" s="96">
        <v>0</v>
      </c>
      <c r="L44" s="96"/>
      <c r="M44" s="96"/>
      <c r="N44" s="96">
        <v>0</v>
      </c>
      <c r="O44" s="96"/>
      <c r="P44" s="96"/>
      <c r="Q44" s="96">
        <v>0</v>
      </c>
      <c r="R44" s="96"/>
      <c r="S44" s="96"/>
      <c r="T44" s="96">
        <v>0</v>
      </c>
      <c r="U44" s="96"/>
      <c r="V44" s="96"/>
      <c r="W44" s="96">
        <v>0</v>
      </c>
      <c r="X44" s="96"/>
      <c r="Y44" s="96"/>
      <c r="Z44" s="96">
        <v>0</v>
      </c>
      <c r="AA44" s="88">
        <f t="shared" si="4"/>
        <v>0</v>
      </c>
      <c r="AB44" s="4"/>
    </row>
    <row r="45" spans="1:28" s="1" customFormat="1" ht="15" hidden="1" outlineLevel="1">
      <c r="A45" s="72"/>
      <c r="B45" s="72"/>
      <c r="C45" s="74" t="str">
        <f>IF(Budget!F44&lt;&gt;"",Budget!F44,"")</f>
        <v/>
      </c>
      <c r="D45" s="87"/>
      <c r="E45" s="96">
        <v>0</v>
      </c>
      <c r="F45" s="96"/>
      <c r="G45" s="96"/>
      <c r="H45" s="96">
        <v>0</v>
      </c>
      <c r="I45" s="96"/>
      <c r="J45" s="96"/>
      <c r="K45" s="96">
        <v>0</v>
      </c>
      <c r="L45" s="96"/>
      <c r="M45" s="96"/>
      <c r="N45" s="96">
        <v>0</v>
      </c>
      <c r="O45" s="96"/>
      <c r="P45" s="96"/>
      <c r="Q45" s="96">
        <v>0</v>
      </c>
      <c r="R45" s="96"/>
      <c r="S45" s="96"/>
      <c r="T45" s="96">
        <v>0</v>
      </c>
      <c r="U45" s="96"/>
      <c r="V45" s="96"/>
      <c r="W45" s="96">
        <v>0</v>
      </c>
      <c r="X45" s="96"/>
      <c r="Y45" s="96"/>
      <c r="Z45" s="96">
        <v>0</v>
      </c>
      <c r="AA45" s="88">
        <f t="shared" si="4"/>
        <v>0</v>
      </c>
    </row>
    <row r="46" spans="1:28" s="1" customFormat="1" ht="15" hidden="1" outlineLevel="1">
      <c r="A46" s="72"/>
      <c r="B46" s="72"/>
      <c r="C46" s="74" t="str">
        <f>IF(Budget!F45&lt;&gt;"",Budget!F45,"")</f>
        <v/>
      </c>
      <c r="D46" s="87"/>
      <c r="E46" s="97">
        <v>0</v>
      </c>
      <c r="F46" s="97"/>
      <c r="G46" s="97"/>
      <c r="H46" s="97">
        <v>0</v>
      </c>
      <c r="I46" s="97"/>
      <c r="J46" s="97"/>
      <c r="K46" s="97">
        <v>0</v>
      </c>
      <c r="L46" s="97"/>
      <c r="M46" s="97"/>
      <c r="N46" s="97">
        <v>0</v>
      </c>
      <c r="O46" s="97"/>
      <c r="P46" s="97"/>
      <c r="Q46" s="97">
        <v>0</v>
      </c>
      <c r="R46" s="97"/>
      <c r="S46" s="97"/>
      <c r="T46" s="97">
        <v>0</v>
      </c>
      <c r="U46" s="97"/>
      <c r="V46" s="97"/>
      <c r="W46" s="97">
        <v>0</v>
      </c>
      <c r="X46" s="97"/>
      <c r="Y46" s="97"/>
      <c r="Z46" s="97">
        <v>0</v>
      </c>
      <c r="AA46" s="88">
        <f t="shared" si="4"/>
        <v>0</v>
      </c>
    </row>
    <row r="47" spans="1:28" s="1" customFormat="1" ht="15" collapsed="1">
      <c r="A47" s="72"/>
      <c r="B47" s="74"/>
      <c r="C47" s="92" t="s">
        <v>16</v>
      </c>
      <c r="D47" s="93"/>
      <c r="E47" s="94">
        <f>SUM(E37:E46)</f>
        <v>0</v>
      </c>
      <c r="F47" s="94"/>
      <c r="G47" s="93"/>
      <c r="H47" s="94">
        <f>SUM(H37:H46)</f>
        <v>0</v>
      </c>
      <c r="I47" s="94"/>
      <c r="J47" s="93"/>
      <c r="K47" s="94">
        <f>SUM(K37:K46)</f>
        <v>0</v>
      </c>
      <c r="L47" s="94"/>
      <c r="M47" s="93"/>
      <c r="N47" s="94">
        <f>SUM(N37:N46)</f>
        <v>0</v>
      </c>
      <c r="O47" s="94"/>
      <c r="P47" s="93"/>
      <c r="Q47" s="94">
        <f>SUM(Q37:Q46)</f>
        <v>0</v>
      </c>
      <c r="R47" s="94"/>
      <c r="S47" s="94"/>
      <c r="T47" s="94"/>
      <c r="U47" s="94"/>
      <c r="V47" s="94"/>
      <c r="W47" s="94"/>
      <c r="X47" s="94"/>
      <c r="Y47" s="94"/>
      <c r="Z47" s="94"/>
      <c r="AA47" s="450">
        <f t="shared" si="4"/>
        <v>0</v>
      </c>
    </row>
    <row r="48" spans="1:28" s="1" customFormat="1" ht="15">
      <c r="A48" s="72"/>
      <c r="B48" s="74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8"/>
    </row>
    <row r="49" spans="1:27" s="1" customFormat="1" ht="15">
      <c r="A49" s="277" t="s">
        <v>217</v>
      </c>
      <c r="B49" s="277"/>
      <c r="C49" s="74" t="s">
        <v>41</v>
      </c>
      <c r="D49" s="87"/>
      <c r="E49" s="98">
        <v>0</v>
      </c>
      <c r="F49" s="98"/>
      <c r="G49" s="87"/>
      <c r="H49" s="98">
        <v>0</v>
      </c>
      <c r="I49" s="98"/>
      <c r="J49" s="87"/>
      <c r="K49" s="98">
        <v>0</v>
      </c>
      <c r="L49" s="98"/>
      <c r="M49" s="87"/>
      <c r="N49" s="98">
        <v>0</v>
      </c>
      <c r="O49" s="98"/>
      <c r="P49" s="87"/>
      <c r="Q49" s="98">
        <v>0</v>
      </c>
      <c r="R49" s="98"/>
      <c r="S49" s="98"/>
      <c r="T49" s="98">
        <v>0</v>
      </c>
      <c r="U49" s="98"/>
      <c r="V49" s="98"/>
      <c r="W49" s="98">
        <v>0</v>
      </c>
      <c r="X49" s="98"/>
      <c r="Y49" s="98"/>
      <c r="Z49" s="98">
        <v>0</v>
      </c>
      <c r="AA49" s="88">
        <f>E49+H49+K49+N49+Q49+T49+W49+Z49</f>
        <v>0</v>
      </c>
    </row>
    <row r="50" spans="1:27" s="1" customFormat="1" ht="15">
      <c r="A50" s="72"/>
      <c r="B50" s="72"/>
      <c r="C50" s="76" t="s">
        <v>149</v>
      </c>
      <c r="D50" s="99"/>
      <c r="E50" s="451">
        <f>'Effort and OPS Salary'!K21*D15*$C$15</f>
        <v>0</v>
      </c>
      <c r="F50" s="90"/>
      <c r="G50" s="90"/>
      <c r="H50" s="451">
        <f>'Effort and OPS Salary'!K22*G15*$C$15</f>
        <v>0</v>
      </c>
      <c r="I50" s="90"/>
      <c r="J50" s="90"/>
      <c r="K50" s="451">
        <f>'Effort and OPS Salary'!K23*J15*$C$15</f>
        <v>0</v>
      </c>
      <c r="L50" s="90"/>
      <c r="M50" s="90"/>
      <c r="N50" s="451">
        <f>'Effort and OPS Salary'!K24*M15*$C$15</f>
        <v>0</v>
      </c>
      <c r="O50" s="90"/>
      <c r="P50" s="90"/>
      <c r="Q50" s="451">
        <f>'Effort and OPS Salary'!K25*P15*$C$15</f>
        <v>0</v>
      </c>
      <c r="R50" s="90"/>
      <c r="S50" s="90"/>
      <c r="T50" s="451">
        <f>'Effort and OPS Salary'!N25*S15*$C$15</f>
        <v>0</v>
      </c>
      <c r="U50" s="90"/>
      <c r="V50" s="90"/>
      <c r="W50" s="451">
        <f>'Effort and OPS Salary'!Q25*V15*$C$15</f>
        <v>0</v>
      </c>
      <c r="X50" s="90"/>
      <c r="Y50" s="90"/>
      <c r="Z50" s="451">
        <f>'Effort and OPS Salary'!T25*Y15*$C$15</f>
        <v>0</v>
      </c>
      <c r="AA50" s="88">
        <f>E50+H50+K50+N50+Q50+T50+W50+Z50</f>
        <v>0</v>
      </c>
    </row>
    <row r="51" spans="1:27" s="1" customFormat="1" ht="15">
      <c r="A51" s="72"/>
      <c r="B51" s="72"/>
      <c r="C51" s="76" t="s">
        <v>83</v>
      </c>
      <c r="D51" s="87"/>
      <c r="E51" s="90">
        <v>0</v>
      </c>
      <c r="F51" s="90"/>
      <c r="G51" s="90"/>
      <c r="H51" s="90">
        <v>0</v>
      </c>
      <c r="I51" s="90"/>
      <c r="J51" s="90"/>
      <c r="K51" s="90">
        <v>0</v>
      </c>
      <c r="L51" s="90"/>
      <c r="M51" s="90"/>
      <c r="N51" s="90">
        <v>0</v>
      </c>
      <c r="O51" s="90"/>
      <c r="P51" s="90"/>
      <c r="Q51" s="90">
        <v>0</v>
      </c>
      <c r="R51" s="98"/>
      <c r="S51" s="98"/>
      <c r="T51" s="90">
        <v>0</v>
      </c>
      <c r="U51" s="90"/>
      <c r="V51" s="90"/>
      <c r="W51" s="90">
        <v>0</v>
      </c>
      <c r="X51" s="90"/>
      <c r="Y51" s="90"/>
      <c r="Z51" s="90">
        <v>0</v>
      </c>
      <c r="AA51" s="88">
        <f>E51+H51+K51+N51+Q51+T51+W51+Z51</f>
        <v>0</v>
      </c>
    </row>
    <row r="52" spans="1:27" s="1" customFormat="1" ht="15">
      <c r="A52" s="72"/>
      <c r="B52" s="72"/>
      <c r="C52" s="74" t="s">
        <v>214</v>
      </c>
      <c r="D52" s="89"/>
      <c r="E52" s="89">
        <v>0</v>
      </c>
      <c r="F52" s="89"/>
      <c r="G52" s="89"/>
      <c r="H52" s="89">
        <v>0</v>
      </c>
      <c r="I52" s="89"/>
      <c r="J52" s="89"/>
      <c r="K52" s="89">
        <v>0</v>
      </c>
      <c r="L52" s="89"/>
      <c r="M52" s="89"/>
      <c r="N52" s="89">
        <v>0</v>
      </c>
      <c r="O52" s="89"/>
      <c r="P52" s="89"/>
      <c r="Q52" s="89">
        <v>0</v>
      </c>
      <c r="R52" s="402"/>
      <c r="S52" s="403"/>
      <c r="T52" s="90">
        <v>0</v>
      </c>
      <c r="U52" s="90"/>
      <c r="V52" s="90"/>
      <c r="W52" s="90">
        <v>0</v>
      </c>
      <c r="X52" s="90"/>
      <c r="Y52" s="90"/>
      <c r="Z52" s="90">
        <v>0</v>
      </c>
      <c r="AA52" s="88">
        <f>E52+H52+K52+N52+Q52+T52+W52+Z52</f>
        <v>0</v>
      </c>
    </row>
    <row r="53" spans="1:27" s="1" customFormat="1" ht="15">
      <c r="A53" s="72"/>
      <c r="B53" s="74"/>
      <c r="C53" s="92" t="s">
        <v>17</v>
      </c>
      <c r="D53" s="100"/>
      <c r="E53" s="94">
        <f>SUM(E49:E51)</f>
        <v>0</v>
      </c>
      <c r="F53" s="94"/>
      <c r="G53" s="100"/>
      <c r="H53" s="94">
        <f>SUM(H49:H51)</f>
        <v>0</v>
      </c>
      <c r="I53" s="94"/>
      <c r="J53" s="100"/>
      <c r="K53" s="94">
        <f>SUM(K49:K51)</f>
        <v>0</v>
      </c>
      <c r="L53" s="94"/>
      <c r="M53" s="100"/>
      <c r="N53" s="94">
        <f>SUM(N49:N51)</f>
        <v>0</v>
      </c>
      <c r="O53" s="94"/>
      <c r="P53" s="100"/>
      <c r="Q53" s="94">
        <f>SUM(Q49:Q51)</f>
        <v>0</v>
      </c>
      <c r="R53" s="94"/>
      <c r="S53" s="94"/>
      <c r="T53" s="449">
        <f>SUM(T49:T52)</f>
        <v>0</v>
      </c>
      <c r="U53" s="449"/>
      <c r="V53" s="449"/>
      <c r="W53" s="449">
        <f>SUM(W49:W52)</f>
        <v>0</v>
      </c>
      <c r="X53" s="449"/>
      <c r="Y53" s="449"/>
      <c r="Z53" s="449">
        <f>SUM(Z49:Z51)</f>
        <v>0</v>
      </c>
      <c r="AA53" s="450">
        <f>E53+H53+K53+N53+Q53+T53+W53+Z53</f>
        <v>0</v>
      </c>
    </row>
    <row r="54" spans="1:27" s="1" customFormat="1" ht="15">
      <c r="A54" s="72"/>
      <c r="B54" s="74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8"/>
    </row>
    <row r="55" spans="1:27" s="1" customFormat="1" ht="15">
      <c r="A55" s="75" t="s">
        <v>33</v>
      </c>
      <c r="B55" s="77"/>
      <c r="C55" s="92" t="s">
        <v>34</v>
      </c>
      <c r="D55" s="93"/>
      <c r="E55" s="94">
        <f>E34+E47+E53</f>
        <v>0</v>
      </c>
      <c r="F55" s="94"/>
      <c r="G55" s="93"/>
      <c r="H55" s="94">
        <f>H34+H47+H53</f>
        <v>0</v>
      </c>
      <c r="I55" s="94"/>
      <c r="J55" s="93"/>
      <c r="K55" s="94">
        <f>K34+K47+K53</f>
        <v>0</v>
      </c>
      <c r="L55" s="94"/>
      <c r="M55" s="93"/>
      <c r="N55" s="94">
        <f>N34+N47+N53</f>
        <v>0</v>
      </c>
      <c r="O55" s="94"/>
      <c r="P55" s="93"/>
      <c r="Q55" s="94">
        <f>Q34+Q47+Q53</f>
        <v>0</v>
      </c>
      <c r="R55" s="94"/>
      <c r="S55" s="94"/>
      <c r="T55" s="94">
        <f>T34+T47+T53</f>
        <v>0</v>
      </c>
      <c r="U55" s="94"/>
      <c r="V55" s="94"/>
      <c r="W55" s="94">
        <f>W34+W47+W53</f>
        <v>0</v>
      </c>
      <c r="X55" s="94"/>
      <c r="Y55" s="94"/>
      <c r="Z55" s="94">
        <f>Z34+Z47+Z53</f>
        <v>0</v>
      </c>
      <c r="AA55" s="88">
        <f>SUM(E55,H55,K55,N55,Q55,T55,W55,Z55)</f>
        <v>0</v>
      </c>
    </row>
    <row r="56" spans="1:27" s="1" customFormat="1" ht="15">
      <c r="A56" s="78"/>
      <c r="B56" s="79"/>
      <c r="C56" s="103"/>
      <c r="D56" s="101"/>
      <c r="E56" s="104"/>
      <c r="F56" s="104"/>
      <c r="G56" s="101"/>
      <c r="H56" s="104"/>
      <c r="I56" s="104"/>
      <c r="J56" s="101"/>
      <c r="K56" s="104"/>
      <c r="L56" s="104"/>
      <c r="M56" s="101"/>
      <c r="N56" s="104"/>
      <c r="O56" s="104"/>
      <c r="P56" s="101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88"/>
    </row>
    <row r="57" spans="1:27" s="1" customFormat="1" ht="15">
      <c r="A57" s="73" t="s">
        <v>85</v>
      </c>
      <c r="B57" s="80"/>
      <c r="C57" s="105"/>
      <c r="D57" s="105"/>
      <c r="E57" s="88">
        <v>0</v>
      </c>
      <c r="F57" s="105"/>
      <c r="G57" s="105"/>
      <c r="H57" s="88">
        <v>0</v>
      </c>
      <c r="I57" s="105"/>
      <c r="J57" s="105"/>
      <c r="K57" s="88">
        <v>0</v>
      </c>
      <c r="L57" s="105"/>
      <c r="M57" s="105"/>
      <c r="N57" s="88">
        <v>0</v>
      </c>
      <c r="O57" s="105"/>
      <c r="P57" s="105"/>
      <c r="Q57" s="88">
        <v>0</v>
      </c>
      <c r="R57" s="88"/>
      <c r="S57" s="88"/>
      <c r="T57" s="88">
        <v>0</v>
      </c>
      <c r="U57" s="88"/>
      <c r="V57" s="88"/>
      <c r="W57" s="88">
        <v>0</v>
      </c>
      <c r="X57" s="88"/>
      <c r="Y57" s="88"/>
      <c r="Z57" s="88">
        <v>0</v>
      </c>
      <c r="AA57" s="88">
        <f>SUM(E57,H57,K57,N57,Q57,T57,W57,Z57)</f>
        <v>0</v>
      </c>
    </row>
    <row r="58" spans="1:27" s="1" customFormat="1" ht="15">
      <c r="A58" s="78"/>
      <c r="B58" s="79"/>
      <c r="C58" s="103"/>
      <c r="D58" s="101"/>
      <c r="E58" s="104"/>
      <c r="F58" s="104"/>
      <c r="G58" s="101"/>
      <c r="H58" s="104"/>
      <c r="I58" s="104"/>
      <c r="J58" s="101"/>
      <c r="K58" s="104"/>
      <c r="L58" s="104"/>
      <c r="M58" s="101"/>
      <c r="N58" s="104"/>
      <c r="O58" s="104"/>
      <c r="P58" s="101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88"/>
    </row>
    <row r="59" spans="1:27" s="1" customFormat="1" ht="15">
      <c r="A59" s="81" t="s">
        <v>86</v>
      </c>
      <c r="B59" s="82"/>
      <c r="C59" s="106"/>
      <c r="D59" s="106"/>
      <c r="E59" s="107">
        <f>E57-E55</f>
        <v>0</v>
      </c>
      <c r="F59" s="106"/>
      <c r="G59" s="106"/>
      <c r="H59" s="107">
        <f>H57-H55</f>
        <v>0</v>
      </c>
      <c r="I59" s="106"/>
      <c r="J59" s="106"/>
      <c r="K59" s="108">
        <f>K57-K55</f>
        <v>0</v>
      </c>
      <c r="L59" s="106"/>
      <c r="M59" s="106"/>
      <c r="N59" s="108">
        <f>N57-N55</f>
        <v>0</v>
      </c>
      <c r="O59" s="106"/>
      <c r="P59" s="106"/>
      <c r="Q59" s="108">
        <f>Q57-Q55</f>
        <v>0</v>
      </c>
      <c r="R59" s="108"/>
      <c r="S59" s="108"/>
      <c r="T59" s="108">
        <f>T57-T55</f>
        <v>0</v>
      </c>
      <c r="U59" s="108"/>
      <c r="V59" s="108"/>
      <c r="W59" s="108">
        <f>W57-W55</f>
        <v>0</v>
      </c>
      <c r="X59" s="108"/>
      <c r="Y59" s="108"/>
      <c r="Z59" s="108">
        <f>Z57-Z55</f>
        <v>0</v>
      </c>
      <c r="AA59" s="88">
        <f>SUM(E59,H59,K59,N59,Q59,T59,W59,Z59)</f>
        <v>0</v>
      </c>
    </row>
    <row r="60" spans="1:27" s="1" customFormat="1" ht="15">
      <c r="A60" s="78"/>
      <c r="B60" s="79"/>
      <c r="C60" s="103"/>
      <c r="D60" s="101"/>
      <c r="E60" s="104"/>
      <c r="F60" s="104"/>
      <c r="G60" s="101"/>
      <c r="H60" s="104"/>
      <c r="I60" s="104"/>
      <c r="J60" s="101"/>
      <c r="K60" s="104"/>
      <c r="L60" s="104"/>
      <c r="M60" s="101"/>
      <c r="N60" s="104"/>
      <c r="O60" s="104"/>
      <c r="P60" s="101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88"/>
    </row>
    <row r="61" spans="1:27" s="1" customFormat="1" ht="15">
      <c r="A61" s="74"/>
      <c r="B61" s="74"/>
      <c r="C61" s="87"/>
      <c r="D61" s="69"/>
      <c r="E61" s="91"/>
      <c r="F61" s="91"/>
      <c r="G61" s="69"/>
      <c r="H61" s="91"/>
      <c r="I61" s="91"/>
      <c r="J61" s="69"/>
      <c r="K61" s="91"/>
      <c r="L61" s="91"/>
      <c r="M61" s="69"/>
      <c r="N61" s="91"/>
      <c r="O61" s="91"/>
      <c r="P61" s="69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88"/>
    </row>
    <row r="62" spans="1:27" s="1" customFormat="1" ht="15">
      <c r="A62" s="83" t="s">
        <v>35</v>
      </c>
      <c r="B62" s="84"/>
      <c r="C62" s="111" t="s">
        <v>36</v>
      </c>
      <c r="D62" s="109"/>
      <c r="E62" s="68">
        <f>E55-E53</f>
        <v>0</v>
      </c>
      <c r="F62" s="68"/>
      <c r="G62" s="109"/>
      <c r="H62" s="68">
        <f>H55-H53</f>
        <v>0</v>
      </c>
      <c r="I62" s="68"/>
      <c r="J62" s="109"/>
      <c r="K62" s="68">
        <f>K55-K53</f>
        <v>0</v>
      </c>
      <c r="L62" s="68"/>
      <c r="M62" s="109"/>
      <c r="N62" s="68">
        <f>N55-N53</f>
        <v>0</v>
      </c>
      <c r="O62" s="68"/>
      <c r="P62" s="109"/>
      <c r="Q62" s="68">
        <f>Q55-Q53</f>
        <v>0</v>
      </c>
      <c r="R62" s="68"/>
      <c r="S62" s="68"/>
      <c r="T62" s="68">
        <f>T55-T53</f>
        <v>0</v>
      </c>
      <c r="U62" s="68"/>
      <c r="V62" s="68"/>
      <c r="W62" s="68">
        <f>W55-W53</f>
        <v>0</v>
      </c>
      <c r="X62" s="68"/>
      <c r="Y62" s="68"/>
      <c r="Z62" s="68">
        <f>Z55-Z53</f>
        <v>0</v>
      </c>
      <c r="AA62" s="88">
        <f>SUM(E62,H62,K62,N62,Q62,T62,W62,Z62)</f>
        <v>0</v>
      </c>
    </row>
    <row r="63" spans="1:27" s="1" customFormat="1" ht="15">
      <c r="A63" s="72"/>
      <c r="B63" s="74"/>
      <c r="C63" s="69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8"/>
    </row>
    <row r="64" spans="1:27" s="1" customFormat="1" ht="15">
      <c r="A64" s="83" t="s">
        <v>24</v>
      </c>
      <c r="B64" s="84"/>
      <c r="C64" s="112" t="s">
        <v>18</v>
      </c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8"/>
    </row>
    <row r="65" spans="1:29" s="1" customFormat="1" ht="15">
      <c r="A65" s="74"/>
      <c r="B65" s="74"/>
      <c r="C65" s="279">
        <f>Budget!F64</f>
        <v>0.52500000000000002</v>
      </c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8"/>
    </row>
    <row r="66" spans="1:29" s="1" customFormat="1" ht="15">
      <c r="A66" s="74"/>
      <c r="B66" s="74"/>
      <c r="C66" s="111" t="s">
        <v>19</v>
      </c>
      <c r="D66" s="110"/>
      <c r="E66" s="68">
        <f>E62*$C65</f>
        <v>0</v>
      </c>
      <c r="F66" s="110"/>
      <c r="G66" s="110"/>
      <c r="H66" s="68">
        <f>H62*$C65</f>
        <v>0</v>
      </c>
      <c r="I66" s="110"/>
      <c r="J66" s="110"/>
      <c r="K66" s="68">
        <f>K62*$C65</f>
        <v>0</v>
      </c>
      <c r="L66" s="110"/>
      <c r="M66" s="110"/>
      <c r="N66" s="68">
        <f>N62*$C65</f>
        <v>0</v>
      </c>
      <c r="O66" s="110"/>
      <c r="P66" s="110"/>
      <c r="Q66" s="68">
        <f>Q62*$C65</f>
        <v>0</v>
      </c>
      <c r="R66" s="68"/>
      <c r="S66" s="68"/>
      <c r="T66" s="68">
        <f>T62*$C65</f>
        <v>0</v>
      </c>
      <c r="U66" s="68"/>
      <c r="V66" s="68"/>
      <c r="W66" s="68">
        <f>W62*$C65</f>
        <v>0</v>
      </c>
      <c r="X66" s="68"/>
      <c r="Y66" s="68"/>
      <c r="Z66" s="68">
        <f>Z62*$C65</f>
        <v>0</v>
      </c>
      <c r="AA66" s="88">
        <f>SUM(E66,H66,K66,N66,Q66,T66,W66,Z66)</f>
        <v>0</v>
      </c>
    </row>
    <row r="67" spans="1:29" s="1" customFormat="1" ht="15">
      <c r="A67" s="74"/>
      <c r="B67" s="74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8"/>
    </row>
    <row r="68" spans="1:29" s="1" customFormat="1" ht="15">
      <c r="A68" s="74"/>
      <c r="B68" s="74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8"/>
    </row>
    <row r="69" spans="1:29" s="1" customFormat="1" ht="15">
      <c r="A69" s="73" t="s">
        <v>20</v>
      </c>
      <c r="B69" s="80"/>
      <c r="C69" s="105"/>
      <c r="D69" s="105"/>
      <c r="E69" s="88">
        <f>E55+E66</f>
        <v>0</v>
      </c>
      <c r="F69" s="88"/>
      <c r="G69" s="105"/>
      <c r="H69" s="88">
        <f>H55+H66</f>
        <v>0</v>
      </c>
      <c r="I69" s="88"/>
      <c r="J69" s="105"/>
      <c r="K69" s="88">
        <f>K55+K66</f>
        <v>0</v>
      </c>
      <c r="L69" s="88"/>
      <c r="M69" s="105"/>
      <c r="N69" s="88">
        <f>N55+N66</f>
        <v>0</v>
      </c>
      <c r="O69" s="88"/>
      <c r="P69" s="105"/>
      <c r="Q69" s="88">
        <f>Q55+Q66</f>
        <v>0</v>
      </c>
      <c r="R69" s="88"/>
      <c r="S69" s="88"/>
      <c r="T69" s="88">
        <f>T55+T66</f>
        <v>0</v>
      </c>
      <c r="U69" s="88"/>
      <c r="V69" s="88"/>
      <c r="W69" s="88">
        <f>W55+W66</f>
        <v>0</v>
      </c>
      <c r="X69" s="88"/>
      <c r="Y69" s="88"/>
      <c r="Z69" s="88">
        <f>Z55+Z66</f>
        <v>0</v>
      </c>
      <c r="AA69" s="88">
        <f>SUM(E69,H69,K69,N69,Q69,T69,W69,Z69)</f>
        <v>0</v>
      </c>
      <c r="AB69" s="102"/>
    </row>
    <row r="70" spans="1:29" s="1" customFormat="1" ht="15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102"/>
    </row>
    <row r="71" spans="1:29" s="1" customFormat="1" ht="15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66"/>
    </row>
    <row r="72" spans="1:29">
      <c r="A72" s="1"/>
      <c r="B72" s="1"/>
      <c r="C72" s="1"/>
      <c r="D72" s="1"/>
      <c r="E72" s="1"/>
      <c r="F72" s="3"/>
      <c r="G72" s="3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5"/>
    </row>
    <row r="73" spans="1:29">
      <c r="A73" s="113"/>
      <c r="B73" s="113"/>
      <c r="C73" s="113"/>
      <c r="D73" s="11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5"/>
    </row>
    <row r="74" spans="1:29">
      <c r="A74" s="4"/>
      <c r="B74" s="15"/>
      <c r="C74" s="15"/>
      <c r="D74" s="15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5"/>
    </row>
    <row r="75" spans="1:29">
      <c r="A75" s="4"/>
      <c r="B75" s="16"/>
      <c r="C75" s="16"/>
      <c r="D75" s="16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5"/>
    </row>
    <row r="76" spans="1:29">
      <c r="A76" s="4"/>
      <c r="B76" s="16"/>
      <c r="C76" s="16"/>
      <c r="D76" s="16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5"/>
    </row>
    <row r="77" spans="1:29">
      <c r="A77" s="4"/>
      <c r="B77" s="16"/>
      <c r="C77" s="16"/>
      <c r="D77" s="16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5"/>
    </row>
    <row r="78" spans="1:29">
      <c r="A78" s="4"/>
      <c r="B78" s="16"/>
      <c r="C78" s="16"/>
      <c r="D78" s="16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5"/>
    </row>
    <row r="79" spans="1:29">
      <c r="A79" s="4"/>
      <c r="B79" s="16"/>
      <c r="C79" s="16"/>
      <c r="D79" s="16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5"/>
    </row>
    <row r="80" spans="1:29">
      <c r="A80" s="4"/>
      <c r="B80" s="16"/>
      <c r="C80" s="16"/>
      <c r="D80" s="16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5"/>
      <c r="AC80" s="5"/>
    </row>
    <row r="81" spans="1:29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1:29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1:29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1:29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1:29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1:29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1:29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1:29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1:29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1:29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1:29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1:29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1:29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1:29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1:29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spans="1:29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spans="1:29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1:29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1:29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1:29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1:29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1:29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1:29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1:29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1:29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1:29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1:29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1:29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1:29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1:29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1:29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1:29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1:29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1:29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1:29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29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1:29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1:29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1:29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1:29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1:29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1:29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1:29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1:29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1:29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1:29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1:29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spans="1:29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spans="1:29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 spans="1:29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 spans="1:29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 spans="1:29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spans="1:29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 spans="1:29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 spans="1:29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spans="1:29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1:29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1:29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1:29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1:29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1:29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1:29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1:29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1:29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1:29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1:29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1:29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1:29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1:29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1:29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1:29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spans="1:29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</row>
    <row r="153" spans="1:29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</row>
    <row r="154" spans="1:29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</row>
    <row r="155" spans="1:29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</row>
    <row r="156" spans="1:29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</row>
    <row r="157" spans="1:29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</row>
    <row r="158" spans="1:29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</row>
    <row r="159" spans="1:29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</row>
    <row r="160" spans="1:29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</row>
    <row r="161" spans="1:29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</row>
    <row r="162" spans="1:29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</row>
    <row r="163" spans="1:29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</row>
    <row r="164" spans="1:29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</row>
    <row r="165" spans="1:29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</row>
    <row r="166" spans="1:29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</row>
    <row r="167" spans="1:29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</row>
    <row r="168" spans="1:29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</row>
    <row r="169" spans="1:29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</row>
    <row r="170" spans="1:29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</row>
    <row r="171" spans="1:29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</row>
    <row r="172" spans="1:29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</row>
    <row r="173" spans="1:29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</row>
    <row r="174" spans="1:29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</row>
    <row r="175" spans="1:29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</row>
    <row r="176" spans="1:29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</row>
    <row r="177" spans="1:29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 spans="1:29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</row>
    <row r="179" spans="1:29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</row>
    <row r="180" spans="1:29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</row>
    <row r="181" spans="1:29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spans="1:29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</row>
    <row r="183" spans="1:29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</row>
    <row r="184" spans="1:29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</row>
    <row r="185" spans="1:29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</row>
    <row r="186" spans="1:29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</row>
    <row r="187" spans="1:29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</row>
    <row r="188" spans="1:29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</row>
    <row r="189" spans="1:29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</row>
    <row r="190" spans="1:29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</row>
    <row r="191" spans="1:29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</row>
    <row r="192" spans="1:29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</row>
    <row r="193" spans="1:29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</row>
    <row r="194" spans="1:29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</row>
    <row r="195" spans="1:29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</row>
    <row r="196" spans="1:29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</row>
    <row r="197" spans="1:29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</row>
    <row r="198" spans="1:29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</row>
    <row r="199" spans="1:29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</row>
    <row r="200" spans="1:29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</row>
    <row r="201" spans="1:29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</row>
    <row r="202" spans="1:29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</row>
    <row r="203" spans="1:29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</row>
    <row r="204" spans="1:29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</row>
    <row r="205" spans="1:29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</row>
    <row r="206" spans="1:29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</row>
    <row r="207" spans="1:29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</row>
    <row r="208" spans="1:29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</row>
    <row r="209" spans="1:29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</row>
    <row r="210" spans="1:29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</row>
    <row r="211" spans="1:29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</row>
    <row r="212" spans="1:29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</row>
    <row r="213" spans="1:29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</row>
    <row r="214" spans="1:29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</row>
    <row r="215" spans="1:29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</row>
    <row r="216" spans="1:29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</row>
    <row r="217" spans="1:29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</row>
    <row r="218" spans="1:29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</row>
    <row r="219" spans="1:29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</row>
    <row r="220" spans="1:29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</row>
    <row r="221" spans="1:29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</row>
    <row r="222" spans="1:29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</row>
    <row r="223" spans="1:29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</row>
    <row r="224" spans="1:29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</row>
    <row r="225" spans="1:29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</row>
    <row r="226" spans="1:29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</row>
    <row r="227" spans="1:29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</row>
    <row r="228" spans="1:29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</row>
    <row r="229" spans="1:29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</row>
    <row r="230" spans="1:29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</row>
    <row r="231" spans="1:29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</row>
    <row r="232" spans="1:29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</row>
    <row r="233" spans="1:29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</row>
    <row r="234" spans="1:29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</row>
    <row r="235" spans="1:29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</row>
    <row r="236" spans="1:29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</row>
    <row r="237" spans="1:29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</row>
    <row r="238" spans="1:29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</row>
    <row r="239" spans="1:29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</row>
    <row r="240" spans="1:29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</row>
    <row r="241" spans="1:29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</row>
    <row r="242" spans="1:29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</row>
    <row r="243" spans="1:29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</row>
    <row r="244" spans="1:29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</row>
    <row r="245" spans="1:29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</row>
    <row r="246" spans="1:29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</row>
    <row r="247" spans="1:29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</row>
    <row r="248" spans="1:29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</row>
    <row r="249" spans="1:29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</row>
    <row r="250" spans="1:29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</row>
    <row r="251" spans="1:29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</row>
    <row r="252" spans="1:29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</row>
    <row r="253" spans="1:29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</row>
    <row r="254" spans="1:29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</row>
    <row r="255" spans="1:29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</row>
    <row r="256" spans="1:29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</row>
    <row r="257" spans="1:29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</row>
    <row r="258" spans="1:29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</row>
    <row r="259" spans="1:29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</row>
    <row r="260" spans="1:29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</row>
    <row r="261" spans="1:29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</row>
    <row r="262" spans="1:29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</row>
    <row r="263" spans="1:29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</row>
    <row r="264" spans="1:29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</row>
    <row r="265" spans="1:29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</row>
    <row r="266" spans="1:29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</row>
    <row r="267" spans="1:29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</row>
    <row r="268" spans="1:29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</row>
    <row r="269" spans="1:29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</row>
    <row r="270" spans="1:29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</row>
    <row r="271" spans="1:29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</row>
    <row r="272" spans="1:29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</row>
    <row r="273" spans="1:29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</row>
    <row r="274" spans="1:29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</row>
    <row r="275" spans="1:29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</row>
    <row r="276" spans="1:29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</row>
    <row r="277" spans="1:29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</row>
    <row r="278" spans="1:29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</row>
    <row r="279" spans="1:29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</row>
    <row r="280" spans="1:29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</row>
    <row r="281" spans="1:29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</row>
    <row r="282" spans="1:29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</row>
    <row r="283" spans="1:29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</row>
    <row r="284" spans="1:29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</row>
    <row r="285" spans="1:29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</row>
    <row r="286" spans="1:29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</row>
    <row r="287" spans="1:29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</row>
    <row r="288" spans="1:29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</row>
    <row r="289" spans="1:29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</row>
    <row r="290" spans="1:29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</row>
    <row r="291" spans="1:29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</row>
    <row r="292" spans="1:29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</row>
    <row r="293" spans="1:29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</row>
    <row r="294" spans="1:29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</row>
    <row r="295" spans="1:29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</row>
    <row r="296" spans="1:29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</row>
    <row r="297" spans="1:29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</row>
    <row r="298" spans="1:29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</row>
    <row r="299" spans="1:29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</row>
    <row r="300" spans="1:29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</row>
    <row r="301" spans="1:29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</row>
    <row r="302" spans="1:29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</row>
    <row r="303" spans="1:29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</row>
    <row r="304" spans="1:29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</row>
    <row r="305" spans="1:29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</row>
    <row r="306" spans="1:29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</row>
    <row r="307" spans="1:29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</row>
    <row r="308" spans="1:29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</row>
    <row r="309" spans="1:29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</row>
    <row r="310" spans="1:29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</row>
    <row r="311" spans="1:29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</row>
    <row r="312" spans="1:29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</row>
    <row r="313" spans="1:29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</row>
    <row r="314" spans="1:29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</row>
    <row r="315" spans="1:29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</row>
    <row r="316" spans="1:29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</row>
    <row r="317" spans="1:29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</row>
    <row r="318" spans="1:29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</row>
    <row r="319" spans="1:29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</row>
    <row r="320" spans="1:29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</sheetData>
  <mergeCells count="32">
    <mergeCell ref="R8:T8"/>
    <mergeCell ref="U8:W8"/>
    <mergeCell ref="X8:Z8"/>
    <mergeCell ref="C9:E9"/>
    <mergeCell ref="F9:H9"/>
    <mergeCell ref="I9:K9"/>
    <mergeCell ref="L9:N9"/>
    <mergeCell ref="O9:Q9"/>
    <mergeCell ref="R9:T9"/>
    <mergeCell ref="U9:W9"/>
    <mergeCell ref="X9:Z9"/>
    <mergeCell ref="C8:E8"/>
    <mergeCell ref="F8:H8"/>
    <mergeCell ref="I8:K8"/>
    <mergeCell ref="L8:N8"/>
    <mergeCell ref="O8:Q8"/>
    <mergeCell ref="C10:E10"/>
    <mergeCell ref="F10:H10"/>
    <mergeCell ref="I10:K10"/>
    <mergeCell ref="L10:N10"/>
    <mergeCell ref="O10:Q10"/>
    <mergeCell ref="R10:T10"/>
    <mergeCell ref="U10:W10"/>
    <mergeCell ref="X10:Z10"/>
    <mergeCell ref="AP15:AQ15"/>
    <mergeCell ref="AR15:AS15"/>
    <mergeCell ref="AD15:AE15"/>
    <mergeCell ref="AF15:AG15"/>
    <mergeCell ref="AH15:AI15"/>
    <mergeCell ref="AJ15:AK15"/>
    <mergeCell ref="AL15:AM15"/>
    <mergeCell ref="AN15:AO15"/>
  </mergeCells>
  <dataValidations count="1">
    <dataValidation type="list" showInputMessage="1" showErrorMessage="1" promptTitle="NIH Salary Cap: " prompt="FY19 - $192,300" sqref="B4" xr:uid="{00000000-0002-0000-0500-000000000000}">
      <formula1>"$192300, none"</formula1>
    </dataValidation>
  </dataValidations>
  <hyperlinks>
    <hyperlink ref="A26" r:id="rId1" display="FRINGES:" xr:uid="{00000000-0004-0000-0500-000000000000}"/>
    <hyperlink ref="A64" r:id="rId2" xr:uid="{00000000-0004-0000-0500-000001000000}"/>
    <hyperlink ref="A4" r:id="rId3" xr:uid="{00000000-0004-0000-0500-000002000000}"/>
    <hyperlink ref="A11" r:id="rId4" xr:uid="{00000000-0004-0000-0500-000003000000}"/>
    <hyperlink ref="C50" r:id="rId5" xr:uid="{00000000-0004-0000-0500-000004000000}"/>
    <hyperlink ref="C51" r:id="rId6" xr:uid="{00000000-0004-0000-0500-000005000000}"/>
    <hyperlink ref="B17" r:id="rId7" xr:uid="{00000000-0004-0000-0500-000006000000}"/>
  </hyperlinks>
  <pageMargins left="0.75" right="0.75" top="1" bottom="1" header="0.5" footer="0.5"/>
  <pageSetup scale="43" orientation="portrait" horizontalDpi="4294967292" verticalDpi="429496729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T320"/>
  <sheetViews>
    <sheetView topLeftCell="A2" zoomScale="80" zoomScaleNormal="80" workbookViewId="0">
      <pane ySplit="9" topLeftCell="A11" activePane="bottomLeft" state="frozen"/>
      <selection activeCell="F27" sqref="F27"/>
      <selection pane="bottomLeft" activeCell="B2" sqref="B2:O2"/>
    </sheetView>
  </sheetViews>
  <sheetFormatPr defaultColWidth="11.09765625" defaultRowHeight="15.6" outlineLevelRow="1" outlineLevelCol="1"/>
  <cols>
    <col min="1" max="1" width="32.59765625" customWidth="1"/>
    <col min="2" max="2" width="19.3984375" customWidth="1"/>
    <col min="3" max="3" width="18.59765625" customWidth="1"/>
    <col min="4" max="4" width="19.19921875" customWidth="1"/>
    <col min="5" max="5" width="12.19921875" customWidth="1"/>
    <col min="6" max="6" width="12.09765625" customWidth="1"/>
    <col min="7" max="7" width="12.69921875" customWidth="1"/>
    <col min="8" max="8" width="11" customWidth="1"/>
    <col min="9" max="9" width="12.5" customWidth="1"/>
    <col min="10" max="10" width="12" customWidth="1"/>
    <col min="11" max="11" width="11" customWidth="1"/>
    <col min="12" max="12" width="11.19921875" customWidth="1"/>
    <col min="13" max="13" width="12.3984375" customWidth="1"/>
    <col min="14" max="14" width="10.8984375" customWidth="1"/>
    <col min="15" max="15" width="11.5" customWidth="1"/>
    <col min="16" max="16" width="11.8984375" customWidth="1"/>
    <col min="17" max="17" width="11.3984375" customWidth="1"/>
    <col min="18" max="26" width="11.3984375" hidden="1" customWidth="1" outlineLevel="1"/>
    <col min="27" max="27" width="11.3984375" customWidth="1" collapsed="1"/>
    <col min="28" max="28" width="14.09765625" customWidth="1"/>
    <col min="29" max="29" width="19.3984375" bestFit="1" customWidth="1"/>
    <col min="40" max="45" width="0" hidden="1" customWidth="1" outlineLevel="1"/>
    <col min="46" max="46" width="11.09765625" collapsed="1"/>
  </cols>
  <sheetData>
    <row r="1" spans="1:45" s="58" customFormat="1">
      <c r="A1" s="68" t="s">
        <v>40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45" s="58" customFormat="1">
      <c r="A2" s="68" t="s">
        <v>40</v>
      </c>
      <c r="B2" s="456">
        <f>Budget!B1</f>
        <v>0</v>
      </c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45" s="1" customFormat="1">
      <c r="A3" s="69" t="s">
        <v>39</v>
      </c>
      <c r="B3" s="61" t="str">
        <f>Budget!B2</f>
        <v>NIH</v>
      </c>
      <c r="AA3" s="63"/>
    </row>
    <row r="4" spans="1:45" s="1" customFormat="1">
      <c r="A4" s="258" t="s">
        <v>82</v>
      </c>
      <c r="B4" s="64">
        <f>CAP</f>
        <v>199300</v>
      </c>
      <c r="C4" s="62"/>
      <c r="AA4" s="63"/>
    </row>
    <row r="5" spans="1:45" s="1" customFormat="1">
      <c r="A5" s="69" t="s">
        <v>76</v>
      </c>
      <c r="B5" s="60">
        <f>Budget!B4</f>
        <v>44743</v>
      </c>
      <c r="C5" s="60"/>
      <c r="AA5" s="63"/>
    </row>
    <row r="6" spans="1:45" s="1" customFormat="1">
      <c r="A6" s="69" t="s">
        <v>77</v>
      </c>
      <c r="B6" s="60">
        <f>Budget!B5</f>
        <v>46568</v>
      </c>
      <c r="C6" s="60"/>
      <c r="AA6" s="63"/>
    </row>
    <row r="7" spans="1:45" s="1" customFormat="1">
      <c r="A7" s="70" t="s">
        <v>87</v>
      </c>
      <c r="B7" s="67">
        <f>Budget!B6</f>
        <v>0.03</v>
      </c>
      <c r="C7" s="60"/>
      <c r="AA7" s="63"/>
    </row>
    <row r="8" spans="1:45" s="1" customFormat="1" hidden="1">
      <c r="A8" s="71" t="s">
        <v>78</v>
      </c>
      <c r="B8" s="257">
        <f>ROUND((B6-B5)/365,2)</f>
        <v>5</v>
      </c>
      <c r="C8" s="575">
        <f>IF(B8&gt;0,IF(B8&lt;1,B8,1),0)</f>
        <v>1</v>
      </c>
      <c r="D8" s="575"/>
      <c r="E8" s="575"/>
      <c r="F8" s="575">
        <f>IF(B8&lt;=1,0,IF(B8&lt;2,B8-1,1))</f>
        <v>1</v>
      </c>
      <c r="G8" s="575"/>
      <c r="H8" s="575"/>
      <c r="I8" s="575">
        <f>IF(B8&lt;=2,0,IF(B8&lt;3,B8-2,1))</f>
        <v>1</v>
      </c>
      <c r="J8" s="575"/>
      <c r="K8" s="575"/>
      <c r="L8" s="575">
        <f>IF(B8&lt;=3,0,IF(B8&lt;4,B8-3,1))</f>
        <v>1</v>
      </c>
      <c r="M8" s="575"/>
      <c r="N8" s="575"/>
      <c r="O8" s="575">
        <f>IF(B8&lt;=4,0,IF(B8&lt;5,B8-4,1))</f>
        <v>1</v>
      </c>
      <c r="P8" s="575"/>
      <c r="Q8" s="575"/>
      <c r="R8" s="575">
        <f>IF(B8&lt;=5,0,IF(B8&lt;6,B8-5,1))</f>
        <v>0</v>
      </c>
      <c r="S8" s="575"/>
      <c r="T8" s="575"/>
      <c r="U8" s="575">
        <f>IF(B8&lt;=6,0,IF(B8&lt;7,B8-6,1))</f>
        <v>0</v>
      </c>
      <c r="V8" s="575"/>
      <c r="W8" s="575"/>
      <c r="X8" s="575">
        <f>IF(B8&lt;=7,0,IF(B8&lt;8,B8-7,1))</f>
        <v>0</v>
      </c>
      <c r="Y8" s="575"/>
      <c r="Z8" s="575"/>
      <c r="AA8" s="63"/>
    </row>
    <row r="9" spans="1:45" s="1" customFormat="1" hidden="1">
      <c r="A9" s="71" t="s">
        <v>180</v>
      </c>
      <c r="B9" s="257">
        <f>B8*12</f>
        <v>60</v>
      </c>
      <c r="C9" s="576">
        <f>C8*12</f>
        <v>12</v>
      </c>
      <c r="D9" s="576"/>
      <c r="E9" s="576"/>
      <c r="F9" s="576">
        <f>F8*12</f>
        <v>12</v>
      </c>
      <c r="G9" s="576"/>
      <c r="H9" s="576"/>
      <c r="I9" s="576">
        <f>I8*12</f>
        <v>12</v>
      </c>
      <c r="J9" s="576"/>
      <c r="K9" s="576"/>
      <c r="L9" s="576">
        <f>L8*12</f>
        <v>12</v>
      </c>
      <c r="M9" s="576"/>
      <c r="N9" s="576"/>
      <c r="O9" s="576">
        <f>O8*12</f>
        <v>12</v>
      </c>
      <c r="P9" s="576"/>
      <c r="Q9" s="576"/>
      <c r="R9" s="576">
        <f>R8*12</f>
        <v>0</v>
      </c>
      <c r="S9" s="576"/>
      <c r="T9" s="576"/>
      <c r="U9" s="576">
        <f>U8*12</f>
        <v>0</v>
      </c>
      <c r="V9" s="576"/>
      <c r="W9" s="576"/>
      <c r="X9" s="576">
        <f>X8*12</f>
        <v>0</v>
      </c>
      <c r="Y9" s="576"/>
      <c r="Z9" s="576"/>
      <c r="AA9" s="63"/>
    </row>
    <row r="10" spans="1:45" s="1" customFormat="1" ht="21">
      <c r="A10" s="70"/>
      <c r="B10" s="85"/>
      <c r="C10" s="574" t="s">
        <v>1</v>
      </c>
      <c r="D10" s="574"/>
      <c r="E10" s="574"/>
      <c r="F10" s="574" t="s">
        <v>2</v>
      </c>
      <c r="G10" s="574"/>
      <c r="H10" s="574"/>
      <c r="I10" s="574" t="s">
        <v>3</v>
      </c>
      <c r="J10" s="574"/>
      <c r="K10" s="574"/>
      <c r="L10" s="574" t="s">
        <v>4</v>
      </c>
      <c r="M10" s="574"/>
      <c r="N10" s="574"/>
      <c r="O10" s="574" t="s">
        <v>5</v>
      </c>
      <c r="P10" s="574"/>
      <c r="Q10" s="574"/>
      <c r="R10" s="574" t="s">
        <v>106</v>
      </c>
      <c r="S10" s="574"/>
      <c r="T10" s="574"/>
      <c r="U10" s="574" t="s">
        <v>107</v>
      </c>
      <c r="V10" s="574"/>
      <c r="W10" s="574"/>
      <c r="X10" s="574" t="s">
        <v>108</v>
      </c>
      <c r="Y10" s="574"/>
      <c r="Z10" s="574"/>
      <c r="AA10" s="6" t="s">
        <v>22</v>
      </c>
      <c r="AB10" s="65"/>
    </row>
    <row r="11" spans="1:45" s="1" customFormat="1">
      <c r="A11" s="259" t="s">
        <v>73</v>
      </c>
      <c r="B11" s="444" t="s">
        <v>84</v>
      </c>
      <c r="C11" s="444" t="s">
        <v>74</v>
      </c>
      <c r="D11" s="444" t="s">
        <v>0</v>
      </c>
      <c r="E11" s="444" t="s">
        <v>181</v>
      </c>
      <c r="F11" s="444" t="s">
        <v>74</v>
      </c>
      <c r="G11" s="444" t="s">
        <v>0</v>
      </c>
      <c r="H11" s="444" t="s">
        <v>181</v>
      </c>
      <c r="I11" s="444" t="s">
        <v>74</v>
      </c>
      <c r="J11" s="444" t="s">
        <v>0</v>
      </c>
      <c r="K11" s="444" t="s">
        <v>181</v>
      </c>
      <c r="L11" s="444" t="s">
        <v>74</v>
      </c>
      <c r="M11" s="444" t="s">
        <v>0</v>
      </c>
      <c r="N11" s="444" t="s">
        <v>181</v>
      </c>
      <c r="O11" s="444" t="s">
        <v>74</v>
      </c>
      <c r="P11" s="444" t="s">
        <v>0</v>
      </c>
      <c r="Q11" s="444" t="s">
        <v>181</v>
      </c>
      <c r="R11" s="444" t="s">
        <v>74</v>
      </c>
      <c r="S11" s="444" t="s">
        <v>0</v>
      </c>
      <c r="T11" s="444" t="s">
        <v>181</v>
      </c>
      <c r="U11" s="444" t="s">
        <v>74</v>
      </c>
      <c r="V11" s="444" t="s">
        <v>0</v>
      </c>
      <c r="W11" s="444" t="s">
        <v>181</v>
      </c>
      <c r="X11" s="444" t="s">
        <v>74</v>
      </c>
      <c r="Y11" s="444" t="s">
        <v>0</v>
      </c>
      <c r="Z11" s="444" t="s">
        <v>181</v>
      </c>
      <c r="AA11" s="86"/>
      <c r="AB11" s="63"/>
    </row>
    <row r="12" spans="1:45" s="1" customFormat="1">
      <c r="A12" s="260">
        <f>Budget!A13</f>
        <v>0</v>
      </c>
      <c r="B12" s="261">
        <f>Budget!D13</f>
        <v>0</v>
      </c>
      <c r="C12" s="262">
        <f>Budget!F13</f>
        <v>0</v>
      </c>
      <c r="D12" s="263">
        <f>$C$12*12*C8</f>
        <v>0</v>
      </c>
      <c r="E12" s="264">
        <f>IFERROR(ROUND(MIN(IF(CAP="none",1000000,CAP*D12/$C$9*C$8),B12*D12/$C$9*C$8),0)*(1+B$7)*(1+Budget!C11),"$0.00")+IF(D12&gt;0,-Budget!AG13,"$0.00")</f>
        <v>0</v>
      </c>
      <c r="F12" s="262">
        <f>Budget!I11</f>
        <v>0</v>
      </c>
      <c r="G12" s="263">
        <f>$C$12*12*F8</f>
        <v>0</v>
      </c>
      <c r="H12" s="264">
        <f>IFERROR(ROUND(MIN(IF(CAP="none",1000000,CAP*G12/$F$9*F$8),B12*G12/$F$9*F$8),0)*(1+B$7)^2*(1+Budget!C11),"$0.00")+IF(G12&gt;0,-Budget!AG13,"$0.00")</f>
        <v>0</v>
      </c>
      <c r="I12" s="262">
        <f>Budget!L11</f>
        <v>0</v>
      </c>
      <c r="J12" s="263">
        <f>$C$12*12*I8</f>
        <v>0</v>
      </c>
      <c r="K12" s="264">
        <f>IFERROR(ROUND(MIN(IF(CAP="none",1000000,CAP*J12/$I$9*I$8),B12*J12/$I$9*I$8),0)*(1+B$7)^3*(1+Budget!C11),"$0.00")+IF(J12&gt;0,-Budget!AG13,"$0.00")</f>
        <v>0</v>
      </c>
      <c r="L12" s="262">
        <f>Budget!O11</f>
        <v>0</v>
      </c>
      <c r="M12" s="263">
        <f>$C$12*12*L8</f>
        <v>0</v>
      </c>
      <c r="N12" s="264">
        <f>IFERROR(ROUND(MIN(IF(CAP="none",1000000,CAP*M12/$L$9*L$8),B12*M12/$L$9*L$8),0)*(1+B$7)^4*(1+Budget!C11),"$0.00")+IF(M12&gt;0,-Budget!AG13,"$0.00")</f>
        <v>0</v>
      </c>
      <c r="O12" s="262">
        <f>Budget!R11</f>
        <v>0</v>
      </c>
      <c r="P12" s="263">
        <f>$C$12*12*O8</f>
        <v>0</v>
      </c>
      <c r="Q12" s="264">
        <f>IFERROR(ROUND(MIN(IF(CAP="none",1000000,CAP*P12/$O$9*O$8),B12*P12/$O$9*O$8),0)*(1+B$7)^5*(1+Budget!C11),"$0.00")+IF(P12&gt;0,-Budget!AG13,"$0.00")</f>
        <v>0</v>
      </c>
      <c r="R12" s="262">
        <f>Budget!U11</f>
        <v>0</v>
      </c>
      <c r="S12" s="263">
        <f>$C$12*12*R8</f>
        <v>0</v>
      </c>
      <c r="T12" s="264">
        <f>IFERROR(ROUND(MIN(IF(CAP="none",1000000,CAP*S12/$R$9*R$8),B12*S12/$R$9*R$8),0)*(1+B$7)^6*(1+Budget!C11),"$0.00")+IF(S12&gt;0,-Budget!AG13,"$0.00")</f>
        <v>0</v>
      </c>
      <c r="U12" s="262">
        <f>Budget!X11</f>
        <v>0</v>
      </c>
      <c r="V12" s="263">
        <f>$C$12*12*U8</f>
        <v>0</v>
      </c>
      <c r="W12" s="264">
        <f>IFERROR(ROUND(MIN(IF(CAP="none",1000000,CAP*V12/$U$9*U$8),B12*V12/$U$9*U$8),0)*(1+B$7)^7*(1+Budget!C11),"$0.00")+IF(V12&gt;0,-Budget!AG13,"$0.00")</f>
        <v>0</v>
      </c>
      <c r="X12" s="262">
        <f>Budget!AA11</f>
        <v>0</v>
      </c>
      <c r="Y12" s="263">
        <f>$C$12*12*X8</f>
        <v>0</v>
      </c>
      <c r="Z12" s="264">
        <f>IFERROR(ROUND(MIN(IF(CAP="none",1000000,CAP*Y12/$X$9*X$8),B12*Y12/$X$9*X$8),0)*(1+B$7)^8*(1+Budget!C11),"$0.00")+IF(Y12&gt;0,-Budget!AG13,"$0.00")</f>
        <v>0</v>
      </c>
      <c r="AA12" s="88">
        <f>SUM(E12,H12,K12,N12,Q12,T12,W12,Z12)</f>
        <v>0</v>
      </c>
      <c r="AB12" s="63"/>
    </row>
    <row r="13" spans="1:45" s="1" customFormat="1" ht="15">
      <c r="A13" s="267"/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88"/>
    </row>
    <row r="14" spans="1:45" s="1" customFormat="1" ht="15">
      <c r="A14" s="69"/>
      <c r="B14" s="87"/>
      <c r="C14" s="268" t="s">
        <v>183</v>
      </c>
      <c r="D14" s="269" t="s">
        <v>0</v>
      </c>
      <c r="E14" s="270" t="s">
        <v>184</v>
      </c>
      <c r="F14" s="270"/>
      <c r="G14" s="269" t="s">
        <v>0</v>
      </c>
      <c r="H14" s="270" t="s">
        <v>184</v>
      </c>
      <c r="I14" s="270"/>
      <c r="J14" s="269" t="s">
        <v>0</v>
      </c>
      <c r="K14" s="270" t="s">
        <v>184</v>
      </c>
      <c r="L14" s="270"/>
      <c r="M14" s="269" t="s">
        <v>0</v>
      </c>
      <c r="N14" s="270" t="s">
        <v>184</v>
      </c>
      <c r="O14" s="270"/>
      <c r="P14" s="269" t="s">
        <v>0</v>
      </c>
      <c r="Q14" s="270" t="s">
        <v>184</v>
      </c>
      <c r="R14" s="270"/>
      <c r="S14" s="269" t="s">
        <v>0</v>
      </c>
      <c r="T14" s="270" t="s">
        <v>184</v>
      </c>
      <c r="U14" s="270"/>
      <c r="V14" s="269" t="s">
        <v>0</v>
      </c>
      <c r="W14" s="270" t="s">
        <v>184</v>
      </c>
      <c r="X14" s="270"/>
      <c r="Y14" s="269" t="s">
        <v>0</v>
      </c>
      <c r="Z14" s="270" t="s">
        <v>184</v>
      </c>
      <c r="AA14" s="88"/>
    </row>
    <row r="15" spans="1:45" s="1" customFormat="1" ht="15">
      <c r="A15" s="72" t="s">
        <v>185</v>
      </c>
      <c r="B15" s="74" t="s">
        <v>6</v>
      </c>
      <c r="C15" s="271">
        <v>0</v>
      </c>
      <c r="D15" s="271">
        <v>0</v>
      </c>
      <c r="E15" s="264">
        <f>AD16/AE16*D15*$C15</f>
        <v>0</v>
      </c>
      <c r="F15" s="264"/>
      <c r="G15" s="271">
        <v>0</v>
      </c>
      <c r="H15" s="264">
        <f>AF16/AG16*G15*$C15</f>
        <v>0</v>
      </c>
      <c r="I15" s="264"/>
      <c r="J15" s="271">
        <v>0</v>
      </c>
      <c r="K15" s="264">
        <f>AH16/AI16*J15*$C15</f>
        <v>0</v>
      </c>
      <c r="L15" s="264"/>
      <c r="M15" s="271">
        <v>0</v>
      </c>
      <c r="N15" s="264">
        <f>AJ16/AK16*M15*$C15</f>
        <v>0</v>
      </c>
      <c r="O15" s="264"/>
      <c r="P15" s="271">
        <v>0</v>
      </c>
      <c r="Q15" s="264">
        <f>AL16/AM16*P15*$C15</f>
        <v>0</v>
      </c>
      <c r="R15" s="264"/>
      <c r="S15" s="280">
        <v>0</v>
      </c>
      <c r="T15" s="261">
        <f>AN16/AO16*S15*$C15</f>
        <v>0</v>
      </c>
      <c r="U15" s="264"/>
      <c r="V15" s="280">
        <v>0</v>
      </c>
      <c r="W15" s="261">
        <f>AP16/AQ16*V15*$C15</f>
        <v>0</v>
      </c>
      <c r="X15" s="264"/>
      <c r="Y15" s="280">
        <v>0</v>
      </c>
      <c r="Z15" s="261">
        <f>AR16/AS16*Y15*$C15</f>
        <v>0</v>
      </c>
      <c r="AA15" s="88">
        <f>E15+H15+K15+N15+Q15+T15+W15+Z15</f>
        <v>0</v>
      </c>
      <c r="AC15" s="2" t="s">
        <v>192</v>
      </c>
      <c r="AD15" s="514" t="s">
        <v>1</v>
      </c>
      <c r="AE15" s="514"/>
      <c r="AF15" s="514" t="s">
        <v>2</v>
      </c>
      <c r="AG15" s="514"/>
      <c r="AH15" s="514" t="s">
        <v>3</v>
      </c>
      <c r="AI15" s="514"/>
      <c r="AJ15" s="514" t="s">
        <v>4</v>
      </c>
      <c r="AK15" s="514"/>
      <c r="AL15" s="514" t="s">
        <v>5</v>
      </c>
      <c r="AM15" s="514"/>
      <c r="AN15" s="514" t="s">
        <v>106</v>
      </c>
      <c r="AO15" s="514"/>
      <c r="AP15" s="514" t="s">
        <v>107</v>
      </c>
      <c r="AQ15" s="514"/>
      <c r="AR15" s="514" t="s">
        <v>108</v>
      </c>
      <c r="AS15" s="514"/>
    </row>
    <row r="16" spans="1:45" s="1" customFormat="1" ht="15">
      <c r="A16" s="72"/>
      <c r="B16" s="74" t="s">
        <v>7</v>
      </c>
      <c r="C16" s="271">
        <v>0</v>
      </c>
      <c r="D16" s="271">
        <v>0</v>
      </c>
      <c r="E16" s="264">
        <f>AD17/AE17*D16*$C16</f>
        <v>0</v>
      </c>
      <c r="F16" s="264"/>
      <c r="G16" s="271">
        <v>0</v>
      </c>
      <c r="H16" s="264">
        <f>AF17/AG17*G16*$C16</f>
        <v>0</v>
      </c>
      <c r="I16" s="264"/>
      <c r="J16" s="271">
        <v>0</v>
      </c>
      <c r="K16" s="264">
        <f>AH17/AI17*J16*$C16</f>
        <v>0</v>
      </c>
      <c r="L16" s="264"/>
      <c r="M16" s="271">
        <v>0</v>
      </c>
      <c r="N16" s="264">
        <f>AJ17/AK17*M16*$C16</f>
        <v>0</v>
      </c>
      <c r="O16" s="264"/>
      <c r="P16" s="271">
        <v>0</v>
      </c>
      <c r="Q16" s="264">
        <f>AL17/AM17*P16*$C16</f>
        <v>0</v>
      </c>
      <c r="R16" s="264"/>
      <c r="S16" s="280">
        <v>0</v>
      </c>
      <c r="T16" s="261">
        <f>AN17/AO17*S16*$C16</f>
        <v>0</v>
      </c>
      <c r="U16" s="264"/>
      <c r="V16" s="280">
        <v>0</v>
      </c>
      <c r="W16" s="261">
        <f>AP17/AQ17*V16*$C16</f>
        <v>0</v>
      </c>
      <c r="X16" s="264"/>
      <c r="Y16" s="280">
        <v>0</v>
      </c>
      <c r="Z16" s="261">
        <f>AR17/AS17*Y16*$C16</f>
        <v>0</v>
      </c>
      <c r="AA16" s="88">
        <f t="shared" ref="AA16:AA21" si="0">E16+H16+K16+N16+Q16+T16+W16+Z16</f>
        <v>0</v>
      </c>
      <c r="AC16" s="2" t="s">
        <v>6</v>
      </c>
      <c r="AD16" s="265">
        <v>27000</v>
      </c>
      <c r="AE16" s="266">
        <v>12</v>
      </c>
      <c r="AF16" s="265">
        <f>AD16*1.03</f>
        <v>27810</v>
      </c>
      <c r="AG16" s="266">
        <v>12</v>
      </c>
      <c r="AH16" s="265">
        <f>AF16*1.03</f>
        <v>28644.3</v>
      </c>
      <c r="AI16" s="266">
        <v>12</v>
      </c>
      <c r="AJ16" s="265">
        <f>AH16*1.03</f>
        <v>29503.629000000001</v>
      </c>
      <c r="AK16" s="266">
        <v>12</v>
      </c>
      <c r="AL16" s="265">
        <f>AJ16*1.03</f>
        <v>30388.737870000001</v>
      </c>
      <c r="AM16" s="266">
        <v>12</v>
      </c>
      <c r="AN16" s="265">
        <f>AL16*1.03</f>
        <v>31300.400006100001</v>
      </c>
      <c r="AO16" s="266">
        <v>12</v>
      </c>
      <c r="AP16" s="265">
        <f>AN16*1.03</f>
        <v>32239.412006283001</v>
      </c>
      <c r="AQ16" s="266">
        <v>12</v>
      </c>
      <c r="AR16" s="265">
        <f>AP16*1.03</f>
        <v>33206.594366471494</v>
      </c>
      <c r="AS16" s="266">
        <v>12</v>
      </c>
    </row>
    <row r="17" spans="1:45" s="1" customFormat="1" ht="15">
      <c r="A17" s="72"/>
      <c r="B17" s="76" t="s">
        <v>182</v>
      </c>
      <c r="C17" s="271">
        <v>0</v>
      </c>
      <c r="D17" s="271">
        <v>0</v>
      </c>
      <c r="E17" s="264">
        <f>AD18/AE18*D17*$C17</f>
        <v>0</v>
      </c>
      <c r="F17" s="264"/>
      <c r="G17" s="271">
        <v>0</v>
      </c>
      <c r="H17" s="264">
        <f>AF18/AG18*G17*$C17</f>
        <v>0</v>
      </c>
      <c r="I17" s="264"/>
      <c r="J17" s="271">
        <v>0</v>
      </c>
      <c r="K17" s="264">
        <f>AH18/AI18*J17*$C17</f>
        <v>0</v>
      </c>
      <c r="L17" s="264"/>
      <c r="M17" s="271">
        <v>0</v>
      </c>
      <c r="N17" s="264">
        <f>AJ18/AK18*M17*$C17</f>
        <v>0</v>
      </c>
      <c r="O17" s="264"/>
      <c r="P17" s="271">
        <v>0</v>
      </c>
      <c r="Q17" s="264">
        <f>AL18/AM18*P17*$C17</f>
        <v>0</v>
      </c>
      <c r="R17" s="264"/>
      <c r="S17" s="280">
        <v>0</v>
      </c>
      <c r="T17" s="261">
        <f>AN18/AO18*S17*$C17</f>
        <v>0</v>
      </c>
      <c r="U17" s="264"/>
      <c r="V17" s="280">
        <v>0</v>
      </c>
      <c r="W17" s="261">
        <f>AP18/AQ18*V17*$C17</f>
        <v>0</v>
      </c>
      <c r="X17" s="264"/>
      <c r="Y17" s="280">
        <v>0</v>
      </c>
      <c r="Z17" s="261">
        <f>AR18/AS18*Y17*$C17</f>
        <v>0</v>
      </c>
      <c r="AA17" s="88">
        <f t="shared" si="0"/>
        <v>0</v>
      </c>
      <c r="AC17" s="2" t="s">
        <v>7</v>
      </c>
      <c r="AD17" s="265">
        <v>50000</v>
      </c>
      <c r="AE17" s="2">
        <v>12</v>
      </c>
      <c r="AF17" s="265">
        <f>AD17*1.03</f>
        <v>51500</v>
      </c>
      <c r="AG17" s="2">
        <v>12</v>
      </c>
      <c r="AH17" s="265">
        <f>AF17*1.03</f>
        <v>53045</v>
      </c>
      <c r="AI17" s="2">
        <v>12</v>
      </c>
      <c r="AJ17" s="265">
        <f>AH17*1.03</f>
        <v>54636.35</v>
      </c>
      <c r="AK17" s="2">
        <v>12</v>
      </c>
      <c r="AL17" s="265">
        <f>AJ17*1.03</f>
        <v>56275.440499999997</v>
      </c>
      <c r="AM17" s="266">
        <v>12</v>
      </c>
      <c r="AN17" s="265">
        <f>AL17*1.03</f>
        <v>57963.703714999996</v>
      </c>
      <c r="AO17" s="266">
        <v>12</v>
      </c>
      <c r="AP17" s="265">
        <f>AN17*1.03</f>
        <v>59702.614826450001</v>
      </c>
      <c r="AQ17" s="266">
        <v>12</v>
      </c>
      <c r="AR17" s="265">
        <f>AP17*1.03</f>
        <v>61493.693271243501</v>
      </c>
      <c r="AS17" s="266">
        <v>12</v>
      </c>
    </row>
    <row r="18" spans="1:45" s="1" customFormat="1" ht="15">
      <c r="A18" s="72"/>
      <c r="B18" s="74" t="s">
        <v>9</v>
      </c>
      <c r="C18" s="271">
        <v>0</v>
      </c>
      <c r="D18" s="271">
        <v>0</v>
      </c>
      <c r="E18" s="264">
        <f>AD19/AE19*D18*$C18</f>
        <v>0</v>
      </c>
      <c r="F18" s="264"/>
      <c r="G18" s="271">
        <v>0</v>
      </c>
      <c r="H18" s="264">
        <f>AF19/AG19*G18*$C18</f>
        <v>0</v>
      </c>
      <c r="I18" s="264"/>
      <c r="J18" s="271">
        <v>0</v>
      </c>
      <c r="K18" s="264">
        <f>AH19/AI19*J18*$C18</f>
        <v>0</v>
      </c>
      <c r="L18" s="264"/>
      <c r="M18" s="271">
        <v>0</v>
      </c>
      <c r="N18" s="264">
        <f>AJ19/AK19*M18*$C18</f>
        <v>0</v>
      </c>
      <c r="O18" s="264"/>
      <c r="P18" s="271">
        <v>0</v>
      </c>
      <c r="Q18" s="264">
        <f>AL19/AM19*P18*$C18</f>
        <v>0</v>
      </c>
      <c r="R18" s="264"/>
      <c r="S18" s="280">
        <v>0</v>
      </c>
      <c r="T18" s="261">
        <f>AN19/AO19*S18*$C18</f>
        <v>0</v>
      </c>
      <c r="U18" s="264"/>
      <c r="V18" s="280">
        <v>0</v>
      </c>
      <c r="W18" s="261">
        <f>AP19/AQ19*V18*$C18</f>
        <v>0</v>
      </c>
      <c r="X18" s="264"/>
      <c r="Y18" s="280">
        <v>0</v>
      </c>
      <c r="Z18" s="261">
        <f>AR19/AS19*Y18*$C18</f>
        <v>0</v>
      </c>
      <c r="AA18" s="88">
        <f t="shared" si="0"/>
        <v>0</v>
      </c>
      <c r="AC18" s="2" t="s">
        <v>8</v>
      </c>
      <c r="AD18" s="265">
        <v>8000</v>
      </c>
      <c r="AE18" s="2">
        <v>12</v>
      </c>
      <c r="AF18" s="265">
        <f>AD18*1.03</f>
        <v>8240</v>
      </c>
      <c r="AG18" s="266">
        <v>12</v>
      </c>
      <c r="AH18" s="265">
        <f>AF18*1.03</f>
        <v>8487.2000000000007</v>
      </c>
      <c r="AI18" s="266">
        <v>12</v>
      </c>
      <c r="AJ18" s="265">
        <f>AH18*1.03</f>
        <v>8741.8160000000007</v>
      </c>
      <c r="AK18" s="266">
        <v>12</v>
      </c>
      <c r="AL18" s="265">
        <f>AJ18*1.03</f>
        <v>9004.0704800000003</v>
      </c>
      <c r="AM18" s="266">
        <v>12</v>
      </c>
      <c r="AN18" s="265">
        <f>AL18*1.03</f>
        <v>9274.1925944000013</v>
      </c>
      <c r="AO18" s="266">
        <v>12</v>
      </c>
      <c r="AP18" s="265">
        <f>AN18*1.03</f>
        <v>9552.4183722320013</v>
      </c>
      <c r="AQ18" s="266">
        <v>12</v>
      </c>
      <c r="AR18" s="265">
        <f>AP18*1.03</f>
        <v>9838.990923398962</v>
      </c>
      <c r="AS18" s="266">
        <v>12</v>
      </c>
    </row>
    <row r="19" spans="1:45" s="1" customFormat="1" ht="15">
      <c r="A19" s="72"/>
      <c r="B19" s="74" t="s">
        <v>10</v>
      </c>
      <c r="C19" s="272">
        <v>0</v>
      </c>
      <c r="D19" s="272">
        <v>0</v>
      </c>
      <c r="E19" s="89">
        <f>AD20/AE20*D19*$C19</f>
        <v>0</v>
      </c>
      <c r="F19" s="89"/>
      <c r="G19" s="272">
        <v>0</v>
      </c>
      <c r="H19" s="89">
        <f>AF20/AG20*G19*$C19</f>
        <v>0</v>
      </c>
      <c r="I19" s="89"/>
      <c r="J19" s="272">
        <v>0</v>
      </c>
      <c r="K19" s="89">
        <f>AH20/AI20*J19*$C19</f>
        <v>0</v>
      </c>
      <c r="L19" s="89"/>
      <c r="M19" s="272">
        <v>0</v>
      </c>
      <c r="N19" s="89">
        <f>AJ20/AK20*M19*$C19</f>
        <v>0</v>
      </c>
      <c r="O19" s="89"/>
      <c r="P19" s="272">
        <v>0</v>
      </c>
      <c r="Q19" s="89">
        <f>AL20/AM20*P19*$C19</f>
        <v>0</v>
      </c>
      <c r="R19" s="89"/>
      <c r="S19" s="281">
        <v>0</v>
      </c>
      <c r="T19" s="282">
        <f>AN20/AO20*S19*$C19</f>
        <v>0</v>
      </c>
      <c r="U19" s="89"/>
      <c r="V19" s="281">
        <v>0</v>
      </c>
      <c r="W19" s="282">
        <f>AP20/AQ20*V19*$C19</f>
        <v>0</v>
      </c>
      <c r="X19" s="89"/>
      <c r="Y19" s="281">
        <v>0</v>
      </c>
      <c r="Z19" s="282">
        <f>AR20/AS20*Y19*$C19</f>
        <v>0</v>
      </c>
      <c r="AA19" s="88">
        <f t="shared" si="0"/>
        <v>0</v>
      </c>
      <c r="AC19" s="2" t="s">
        <v>9</v>
      </c>
      <c r="AD19" s="265">
        <v>10000</v>
      </c>
      <c r="AE19" s="2">
        <v>12</v>
      </c>
      <c r="AF19" s="265">
        <f>AD19*1.03</f>
        <v>10300</v>
      </c>
      <c r="AG19" s="2">
        <v>12</v>
      </c>
      <c r="AH19" s="265">
        <f>AF19*1.03</f>
        <v>10609</v>
      </c>
      <c r="AI19" s="2">
        <v>12</v>
      </c>
      <c r="AJ19" s="265">
        <f>AH19*1.03</f>
        <v>10927.27</v>
      </c>
      <c r="AK19" s="2">
        <v>12</v>
      </c>
      <c r="AL19" s="265">
        <f>AJ19*1.03</f>
        <v>11255.088100000001</v>
      </c>
      <c r="AM19" s="266">
        <v>12</v>
      </c>
      <c r="AN19" s="265">
        <f>AL19*1.03</f>
        <v>11592.740743</v>
      </c>
      <c r="AO19" s="266">
        <v>12</v>
      </c>
      <c r="AP19" s="265">
        <f>AN19*1.03</f>
        <v>11940.52296529</v>
      </c>
      <c r="AQ19" s="266">
        <v>12</v>
      </c>
      <c r="AR19" s="265">
        <f>AP19*1.03</f>
        <v>12298.7386542487</v>
      </c>
      <c r="AS19" s="266">
        <v>12</v>
      </c>
    </row>
    <row r="20" spans="1:45" s="1" customFormat="1" ht="15">
      <c r="A20" s="72"/>
      <c r="B20" s="273"/>
      <c r="C20" s="283"/>
      <c r="D20" s="274"/>
      <c r="E20" s="90"/>
      <c r="F20" s="90"/>
      <c r="G20" s="274"/>
      <c r="H20" s="90"/>
      <c r="I20" s="90"/>
      <c r="J20" s="274" t="s">
        <v>186</v>
      </c>
      <c r="K20" s="90"/>
      <c r="L20" s="90"/>
      <c r="M20" s="274"/>
      <c r="N20" s="90"/>
      <c r="O20" s="90"/>
      <c r="P20" s="274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88"/>
      <c r="AC20" s="2" t="s">
        <v>10</v>
      </c>
      <c r="AD20" s="265">
        <v>10000</v>
      </c>
      <c r="AE20" s="2">
        <v>12</v>
      </c>
      <c r="AF20" s="265">
        <f>AD20*1.03</f>
        <v>10300</v>
      </c>
      <c r="AG20" s="266">
        <v>12</v>
      </c>
      <c r="AH20" s="265">
        <f>AF20*1.03</f>
        <v>10609</v>
      </c>
      <c r="AI20" s="266">
        <v>12</v>
      </c>
      <c r="AJ20" s="265">
        <f>AH20*1.03</f>
        <v>10927.27</v>
      </c>
      <c r="AK20" s="266">
        <v>12</v>
      </c>
      <c r="AL20" s="265">
        <f>AJ20*1.03</f>
        <v>11255.088100000001</v>
      </c>
      <c r="AM20" s="266">
        <v>12</v>
      </c>
      <c r="AN20" s="265">
        <f>AL20*1.03</f>
        <v>11592.740743</v>
      </c>
      <c r="AO20" s="266">
        <v>12</v>
      </c>
      <c r="AP20" s="265">
        <f>AN20*1.03</f>
        <v>11940.52296529</v>
      </c>
      <c r="AQ20" s="266">
        <v>12</v>
      </c>
      <c r="AR20" s="265">
        <f>AP20*1.03</f>
        <v>12298.7386542487</v>
      </c>
      <c r="AS20" s="266">
        <v>12</v>
      </c>
    </row>
    <row r="21" spans="1:45" s="1" customFormat="1" ht="15">
      <c r="A21" s="72"/>
      <c r="B21" s="74"/>
      <c r="C21" s="275" t="s">
        <v>187</v>
      </c>
      <c r="D21" s="69"/>
      <c r="E21" s="91">
        <f>SUM(E15:E19)</f>
        <v>0</v>
      </c>
      <c r="F21" s="91"/>
      <c r="G21" s="69"/>
      <c r="H21" s="91">
        <f>SUM(H15:H19)</f>
        <v>0</v>
      </c>
      <c r="I21" s="91"/>
      <c r="J21" s="69"/>
      <c r="K21" s="91">
        <f>SUM(K15:K19)</f>
        <v>0</v>
      </c>
      <c r="L21" s="91"/>
      <c r="M21" s="69"/>
      <c r="N21" s="91">
        <f>SUM(N15:N19)</f>
        <v>0</v>
      </c>
      <c r="O21" s="91"/>
      <c r="P21" s="69"/>
      <c r="Q21" s="91">
        <f>SUM(Q15:Q19)</f>
        <v>0</v>
      </c>
      <c r="R21" s="91"/>
      <c r="S21" s="91"/>
      <c r="T21" s="91">
        <f t="shared" ref="T21:Z21" si="1">SUM(T15:T19)</f>
        <v>0</v>
      </c>
      <c r="U21" s="91"/>
      <c r="V21" s="91"/>
      <c r="W21" s="91">
        <f t="shared" si="1"/>
        <v>0</v>
      </c>
      <c r="X21" s="91"/>
      <c r="Y21" s="91"/>
      <c r="Z21" s="91">
        <f t="shared" si="1"/>
        <v>0</v>
      </c>
      <c r="AA21" s="88">
        <f t="shared" si="0"/>
        <v>0</v>
      </c>
    </row>
    <row r="22" spans="1:45" s="1" customFormat="1" ht="15">
      <c r="A22" s="72"/>
      <c r="B22" s="74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8"/>
    </row>
    <row r="23" spans="1:45" s="1" customFormat="1" ht="15">
      <c r="A23" s="72"/>
      <c r="B23" s="74"/>
      <c r="C23" s="275" t="s">
        <v>188</v>
      </c>
      <c r="D23" s="69"/>
      <c r="E23" s="91">
        <f>E12+E21</f>
        <v>0</v>
      </c>
      <c r="F23" s="91"/>
      <c r="G23" s="91"/>
      <c r="H23" s="91">
        <f>H12+H21</f>
        <v>0</v>
      </c>
      <c r="I23" s="91"/>
      <c r="J23" s="91"/>
      <c r="K23" s="91">
        <f>K12+K21</f>
        <v>0</v>
      </c>
      <c r="L23" s="91"/>
      <c r="M23" s="91"/>
      <c r="N23" s="91">
        <f>N12+N21</f>
        <v>0</v>
      </c>
      <c r="O23" s="91"/>
      <c r="P23" s="91"/>
      <c r="Q23" s="91">
        <f>Q12+Q21</f>
        <v>0</v>
      </c>
      <c r="R23" s="91"/>
      <c r="S23" s="91"/>
      <c r="T23" s="91">
        <f>T12+T21</f>
        <v>0</v>
      </c>
      <c r="U23" s="91"/>
      <c r="V23" s="91"/>
      <c r="W23" s="91">
        <f>W12+W21</f>
        <v>0</v>
      </c>
      <c r="X23" s="91"/>
      <c r="Y23" s="91"/>
      <c r="Z23" s="91">
        <f>Z12+Z21</f>
        <v>0</v>
      </c>
      <c r="AA23" s="88">
        <f>E23+H23+K23+N23+Q23+T23+W23+Z23</f>
        <v>0</v>
      </c>
    </row>
    <row r="24" spans="1:45" s="1" customFormat="1" ht="15">
      <c r="A24" s="72"/>
      <c r="B24" s="74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8"/>
    </row>
    <row r="25" spans="1:45" s="1" customFormat="1" ht="15">
      <c r="A25" s="72"/>
      <c r="B25" s="74"/>
      <c r="C25" s="268" t="s">
        <v>12</v>
      </c>
      <c r="D25" s="87"/>
      <c r="E25" s="258" t="s">
        <v>189</v>
      </c>
      <c r="F25" s="258"/>
      <c r="G25" s="87"/>
      <c r="H25" s="258" t="s">
        <v>189</v>
      </c>
      <c r="I25" s="258"/>
      <c r="J25" s="87"/>
      <c r="K25" s="258" t="s">
        <v>189</v>
      </c>
      <c r="L25" s="258"/>
      <c r="M25" s="87"/>
      <c r="N25" s="258" t="s">
        <v>189</v>
      </c>
      <c r="O25" s="258"/>
      <c r="P25" s="87"/>
      <c r="Q25" s="258" t="s">
        <v>189</v>
      </c>
      <c r="R25" s="258"/>
      <c r="S25" s="258"/>
      <c r="T25" s="258" t="s">
        <v>189</v>
      </c>
      <c r="U25" s="258"/>
      <c r="V25" s="258"/>
      <c r="W25" s="258" t="s">
        <v>189</v>
      </c>
      <c r="X25" s="258"/>
      <c r="Y25" s="258"/>
      <c r="Z25" s="258" t="s">
        <v>189</v>
      </c>
      <c r="AA25" s="276"/>
    </row>
    <row r="26" spans="1:45" s="1" customFormat="1" ht="15">
      <c r="A26" s="277" t="s">
        <v>205</v>
      </c>
      <c r="B26" s="74" t="s">
        <v>11</v>
      </c>
      <c r="C26" s="278">
        <f>'Effort and OPS Salary'!C28</f>
        <v>0</v>
      </c>
      <c r="D26" s="87"/>
      <c r="E26" s="96" t="str">
        <f>IFERROR(ROUND(MIN(IF(CAP="none",1000000,CAP*D12/$C$9*C$8),B12*D12/$C$9*C$8),0)*(1+B$7)*Budget!C11,"$0")</f>
        <v>$0</v>
      </c>
      <c r="F26" s="96"/>
      <c r="G26" s="96"/>
      <c r="H26" s="96" t="str">
        <f>IFERROR(ROUND(MIN(IF(CAP="none",1000000,CAP*G12/$F$9*F$8),B12*G12/$F$9*F$8),0)*(1+B$7)^2*Budget!C11,"$0")</f>
        <v>$0</v>
      </c>
      <c r="I26" s="96"/>
      <c r="J26" s="96"/>
      <c r="K26" s="96" t="str">
        <f>IFERROR(ROUND(MIN(IF(CAP="none",1000000,CAP*J12/$I$9*I$8),B12*J12/$I$9*I$8),0)*(1+B$7)^3*Budget!C11,"$0")</f>
        <v>$0</v>
      </c>
      <c r="L26" s="96"/>
      <c r="M26" s="96"/>
      <c r="N26" s="452" t="str">
        <f>IFERROR(ROUND(MIN(IF(CAP="none",1000000,CAP*M12/$L$9*L$8),B12*M12/$L$9*L$8),0)*(1+B$7)^4*Budget!C11,"$0")</f>
        <v>$0</v>
      </c>
      <c r="O26" s="96"/>
      <c r="P26" s="96"/>
      <c r="Q26" s="96" t="str">
        <f>IFERROR(ROUND(MIN(IF(CAP="none",1000000,CAP*P12/$O$9*O$8),B12*P12/$O$9*O$8),0)*(1+B$7)^5*Budget!C11,"$0")</f>
        <v>$0</v>
      </c>
      <c r="R26" s="96"/>
      <c r="S26" s="96"/>
      <c r="T26" s="96" t="str">
        <f>IFERROR(ROUND(MIN(IF(CAP="none",1000000,CAP*S12/$R$9*R$8),B12*S12/$R$9*R$8),0)*(1+B$7)^6*Budget!C11,"$0")</f>
        <v>$0</v>
      </c>
      <c r="U26" s="96"/>
      <c r="V26" s="96"/>
      <c r="W26" s="96" t="str">
        <f>IFERROR(ROUND(MIN(IF(CAP="none",1000000,CAP*V12/$U$9*U$8),B12*V12/$U$9*U$8),0)*(1+B$7)^7*Budget!C11,"$0")</f>
        <v>$0</v>
      </c>
      <c r="X26" s="96"/>
      <c r="Y26" s="96"/>
      <c r="Z26" s="96" t="str">
        <f>IFERROR(ROUND(MIN(IF(CAP="none",1000000,CAP*Y12/$X$9*X$8),B12*Y12/$X$9*X$8),0)*(1+B$7)^8*Budget!C11,"$0")</f>
        <v>$0</v>
      </c>
      <c r="AA26" s="88">
        <f>E26+H26+K26+N26+Q26+T26+W26+Z26</f>
        <v>0</v>
      </c>
    </row>
    <row r="27" spans="1:45" s="1" customFormat="1" ht="15">
      <c r="A27" s="72"/>
      <c r="B27" s="74" t="s">
        <v>6</v>
      </c>
      <c r="C27" s="278">
        <f>'Effort and OPS Salary'!C34</f>
        <v>0</v>
      </c>
      <c r="D27" s="87"/>
      <c r="E27" s="96">
        <f>E15*$C27</f>
        <v>0</v>
      </c>
      <c r="F27" s="96"/>
      <c r="G27" s="96"/>
      <c r="H27" s="96">
        <f>H15*$C27</f>
        <v>0</v>
      </c>
      <c r="I27" s="96"/>
      <c r="J27" s="96"/>
      <c r="K27" s="96">
        <f>K15*$C27</f>
        <v>0</v>
      </c>
      <c r="L27" s="96"/>
      <c r="M27" s="96"/>
      <c r="N27" s="96">
        <f>N15*$C27</f>
        <v>0</v>
      </c>
      <c r="O27" s="96"/>
      <c r="P27" s="96"/>
      <c r="Q27" s="96">
        <f>Q15*$C27</f>
        <v>0</v>
      </c>
      <c r="R27" s="264"/>
      <c r="S27" s="264"/>
      <c r="T27" s="264">
        <f>T15*$C27</f>
        <v>0</v>
      </c>
      <c r="U27" s="264"/>
      <c r="V27" s="264"/>
      <c r="W27" s="264">
        <f>W15*$C27</f>
        <v>0</v>
      </c>
      <c r="X27" s="264"/>
      <c r="Y27" s="264"/>
      <c r="Z27" s="264">
        <f>Z15*$C27</f>
        <v>0</v>
      </c>
      <c r="AA27" s="88">
        <f t="shared" ref="AA27:AA32" si="2">E27+H27+K27+N27+Q27+T27+W27+Z27</f>
        <v>0</v>
      </c>
    </row>
    <row r="28" spans="1:45" s="1" customFormat="1" ht="15">
      <c r="A28" s="72"/>
      <c r="B28" s="74" t="s">
        <v>7</v>
      </c>
      <c r="C28" s="278">
        <f>'Effort and OPS Salary'!C33</f>
        <v>0</v>
      </c>
      <c r="D28" s="87"/>
      <c r="E28" s="96">
        <f>E16*$C28</f>
        <v>0</v>
      </c>
      <c r="F28" s="96"/>
      <c r="G28" s="96"/>
      <c r="H28" s="96">
        <f>H16*$C28</f>
        <v>0</v>
      </c>
      <c r="I28" s="96"/>
      <c r="J28" s="96"/>
      <c r="K28" s="96">
        <f>K16*$C28</f>
        <v>0</v>
      </c>
      <c r="L28" s="96"/>
      <c r="M28" s="96"/>
      <c r="N28" s="96">
        <f>N16*$C28</f>
        <v>0</v>
      </c>
      <c r="O28" s="96"/>
      <c r="P28" s="96"/>
      <c r="Q28" s="96">
        <f>Q16*$C28</f>
        <v>0</v>
      </c>
      <c r="R28" s="264"/>
      <c r="S28" s="264"/>
      <c r="T28" s="264">
        <f>T16*$C28</f>
        <v>0</v>
      </c>
      <c r="U28" s="264"/>
      <c r="V28" s="264"/>
      <c r="W28" s="264">
        <f>W16*$C28</f>
        <v>0</v>
      </c>
      <c r="X28" s="264"/>
      <c r="Y28" s="264"/>
      <c r="Z28" s="264">
        <f>Z16*$C28</f>
        <v>0</v>
      </c>
      <c r="AA28" s="88">
        <f t="shared" si="2"/>
        <v>0</v>
      </c>
    </row>
    <row r="29" spans="1:45" s="1" customFormat="1" ht="15">
      <c r="A29" s="72"/>
      <c r="B29" s="74" t="s">
        <v>182</v>
      </c>
      <c r="C29" s="278">
        <f>'Effort and OPS Salary'!C36</f>
        <v>0</v>
      </c>
      <c r="D29" s="87"/>
      <c r="E29" s="96">
        <f>E17*$C29</f>
        <v>0</v>
      </c>
      <c r="F29" s="96"/>
      <c r="G29" s="96"/>
      <c r="H29" s="96">
        <f>H17*$C29</f>
        <v>0</v>
      </c>
      <c r="I29" s="96"/>
      <c r="J29" s="96"/>
      <c r="K29" s="96">
        <f>K17*$C29</f>
        <v>0</v>
      </c>
      <c r="L29" s="96"/>
      <c r="M29" s="96"/>
      <c r="N29" s="96">
        <f>N17*$C29</f>
        <v>0</v>
      </c>
      <c r="O29" s="96"/>
      <c r="P29" s="96"/>
      <c r="Q29" s="96">
        <f>Q17*$C29</f>
        <v>0</v>
      </c>
      <c r="R29" s="264"/>
      <c r="S29" s="264"/>
      <c r="T29" s="264">
        <f>T17*$C29</f>
        <v>0</v>
      </c>
      <c r="U29" s="264"/>
      <c r="V29" s="264"/>
      <c r="W29" s="264">
        <f>W17*$C29</f>
        <v>0</v>
      </c>
      <c r="X29" s="264"/>
      <c r="Y29" s="264"/>
      <c r="Z29" s="264">
        <f>Z17*$C29</f>
        <v>0</v>
      </c>
      <c r="AA29" s="88">
        <f t="shared" si="2"/>
        <v>0</v>
      </c>
    </row>
    <row r="30" spans="1:45" s="1" customFormat="1" ht="15">
      <c r="A30" s="72"/>
      <c r="B30" s="74" t="s">
        <v>9</v>
      </c>
      <c r="C30" s="278">
        <f>'Effort and OPS Salary'!C30</f>
        <v>0</v>
      </c>
      <c r="D30" s="87"/>
      <c r="E30" s="96">
        <f>E18*$C30</f>
        <v>0</v>
      </c>
      <c r="F30" s="96"/>
      <c r="G30" s="96"/>
      <c r="H30" s="96">
        <f>H18*$C30</f>
        <v>0</v>
      </c>
      <c r="I30" s="96"/>
      <c r="J30" s="96"/>
      <c r="K30" s="96">
        <f>K18*$C30</f>
        <v>0</v>
      </c>
      <c r="L30" s="96"/>
      <c r="M30" s="96"/>
      <c r="N30" s="96">
        <f>N18*$C30</f>
        <v>0</v>
      </c>
      <c r="O30" s="96"/>
      <c r="P30" s="96"/>
      <c r="Q30" s="96">
        <f>Q18*$C30</f>
        <v>0</v>
      </c>
      <c r="R30" s="264"/>
      <c r="S30" s="264"/>
      <c r="T30" s="264">
        <f>T18*$C30</f>
        <v>0</v>
      </c>
      <c r="U30" s="264"/>
      <c r="V30" s="264"/>
      <c r="W30" s="264">
        <f>W18*$C30</f>
        <v>0</v>
      </c>
      <c r="X30" s="264"/>
      <c r="Y30" s="264"/>
      <c r="Z30" s="264">
        <f>Z18*$C30</f>
        <v>0</v>
      </c>
      <c r="AA30" s="88">
        <f t="shared" si="2"/>
        <v>0</v>
      </c>
    </row>
    <row r="31" spans="1:45" s="1" customFormat="1" ht="15">
      <c r="A31" s="72"/>
      <c r="B31" s="74" t="s">
        <v>10</v>
      </c>
      <c r="C31" s="278">
        <f>'Effort and OPS Salary'!C31</f>
        <v>0</v>
      </c>
      <c r="D31" s="87"/>
      <c r="E31" s="97">
        <f>E19*$C31</f>
        <v>0</v>
      </c>
      <c r="F31" s="97"/>
      <c r="G31" s="97"/>
      <c r="H31" s="97">
        <f>H19*$C31</f>
        <v>0</v>
      </c>
      <c r="I31" s="97"/>
      <c r="J31" s="97"/>
      <c r="K31" s="97">
        <f>K19*$C31</f>
        <v>0</v>
      </c>
      <c r="L31" s="97"/>
      <c r="M31" s="97"/>
      <c r="N31" s="97">
        <f>N19*$C31</f>
        <v>0</v>
      </c>
      <c r="O31" s="97"/>
      <c r="P31" s="97"/>
      <c r="Q31" s="97">
        <f>Q19*$C31</f>
        <v>0</v>
      </c>
      <c r="R31" s="89"/>
      <c r="S31" s="89"/>
      <c r="T31" s="89">
        <f>T19*$C31</f>
        <v>0</v>
      </c>
      <c r="U31" s="89"/>
      <c r="V31" s="89"/>
      <c r="W31" s="89">
        <f>W19*$C31</f>
        <v>0</v>
      </c>
      <c r="X31" s="89"/>
      <c r="Y31" s="89"/>
      <c r="Z31" s="89">
        <f>Z19*$C31</f>
        <v>0</v>
      </c>
      <c r="AA31" s="88">
        <f t="shared" si="2"/>
        <v>0</v>
      </c>
    </row>
    <row r="32" spans="1:45" s="1" customFormat="1" ht="15">
      <c r="A32" s="72"/>
      <c r="B32" s="74"/>
      <c r="C32" s="275" t="s">
        <v>190</v>
      </c>
      <c r="D32" s="87"/>
      <c r="E32" s="91">
        <f>SUM(E26:E31)</f>
        <v>0</v>
      </c>
      <c r="F32" s="91"/>
      <c r="G32" s="69"/>
      <c r="H32" s="91">
        <f>SUM(H26:H31)</f>
        <v>0</v>
      </c>
      <c r="I32" s="91"/>
      <c r="J32" s="69"/>
      <c r="K32" s="91">
        <f>SUM(K26:K31)</f>
        <v>0</v>
      </c>
      <c r="L32" s="91"/>
      <c r="M32" s="69"/>
      <c r="N32" s="91">
        <f>SUM(N26:N31)</f>
        <v>0</v>
      </c>
      <c r="O32" s="91"/>
      <c r="P32" s="69"/>
      <c r="Q32" s="91">
        <f>SUM(Q26:Q31)</f>
        <v>0</v>
      </c>
      <c r="R32" s="91"/>
      <c r="S32" s="91"/>
      <c r="T32" s="91">
        <f t="shared" ref="T32:Z32" si="3">SUM(T26:T31)</f>
        <v>0</v>
      </c>
      <c r="U32" s="91"/>
      <c r="V32" s="91"/>
      <c r="W32" s="91">
        <f t="shared" si="3"/>
        <v>0</v>
      </c>
      <c r="X32" s="91"/>
      <c r="Y32" s="91"/>
      <c r="Z32" s="91">
        <f t="shared" si="3"/>
        <v>0</v>
      </c>
      <c r="AA32" s="450">
        <f t="shared" si="2"/>
        <v>0</v>
      </c>
    </row>
    <row r="33" spans="1:28" s="1" customFormat="1" ht="15">
      <c r="A33" s="72"/>
      <c r="B33" s="74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8"/>
    </row>
    <row r="34" spans="1:28" s="1" customFormat="1" ht="15">
      <c r="A34" s="72"/>
      <c r="B34" s="74"/>
      <c r="C34" s="92" t="s">
        <v>191</v>
      </c>
      <c r="D34" s="93"/>
      <c r="E34" s="94">
        <f>E23+E32</f>
        <v>0</v>
      </c>
      <c r="F34" s="94"/>
      <c r="G34" s="94"/>
      <c r="H34" s="94">
        <f>H23+H32</f>
        <v>0</v>
      </c>
      <c r="I34" s="94"/>
      <c r="J34" s="93"/>
      <c r="K34" s="94">
        <f>K23+K32</f>
        <v>0</v>
      </c>
      <c r="L34" s="94"/>
      <c r="M34" s="94"/>
      <c r="N34" s="94">
        <f>N23+N32</f>
        <v>0</v>
      </c>
      <c r="O34" s="94"/>
      <c r="P34" s="94"/>
      <c r="Q34" s="94">
        <f>Q23+Q32</f>
        <v>0</v>
      </c>
      <c r="R34" s="94"/>
      <c r="S34" s="94"/>
      <c r="T34" s="94">
        <f>T23+T32</f>
        <v>0</v>
      </c>
      <c r="U34" s="94"/>
      <c r="V34" s="94"/>
      <c r="W34" s="94">
        <f>W23+W32</f>
        <v>0</v>
      </c>
      <c r="X34" s="94"/>
      <c r="Y34" s="94"/>
      <c r="Z34" s="94">
        <f>Z23+Z32</f>
        <v>0</v>
      </c>
      <c r="AA34" s="88">
        <f>E34+H34+K34+N34+Q34+T34+W34+Z34</f>
        <v>0</v>
      </c>
    </row>
    <row r="35" spans="1:28" s="1" customFormat="1" ht="15">
      <c r="A35" s="72"/>
      <c r="B35" s="74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8"/>
    </row>
    <row r="36" spans="1:28" s="1" customFormat="1" ht="15">
      <c r="A36" s="72"/>
      <c r="B36" s="74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95"/>
    </row>
    <row r="37" spans="1:28" s="1" customFormat="1" ht="15">
      <c r="A37" s="72" t="s">
        <v>25</v>
      </c>
      <c r="B37" s="72"/>
      <c r="C37" s="74" t="str">
        <f>IF(Budget!F36&lt;&gt;"",Budget!F36,"")</f>
        <v>Materials &amp; Supplies</v>
      </c>
      <c r="D37" s="87"/>
      <c r="E37" s="96">
        <v>0</v>
      </c>
      <c r="F37" s="96"/>
      <c r="G37" s="96"/>
      <c r="H37" s="96">
        <v>0</v>
      </c>
      <c r="I37" s="96"/>
      <c r="J37" s="96"/>
      <c r="K37" s="96">
        <v>0</v>
      </c>
      <c r="L37" s="96"/>
      <c r="M37" s="96"/>
      <c r="N37" s="96">
        <v>0</v>
      </c>
      <c r="O37" s="96"/>
      <c r="P37" s="96"/>
      <c r="Q37" s="96">
        <v>0</v>
      </c>
      <c r="R37" s="96"/>
      <c r="S37" s="96"/>
      <c r="T37" s="96">
        <v>0</v>
      </c>
      <c r="U37" s="96"/>
      <c r="V37" s="96"/>
      <c r="W37" s="96">
        <v>0</v>
      </c>
      <c r="X37" s="96"/>
      <c r="Y37" s="96"/>
      <c r="Z37" s="96">
        <v>0</v>
      </c>
      <c r="AA37" s="88">
        <f>E37+H37+K37+N37+Q37+T37+W37+Z37</f>
        <v>0</v>
      </c>
    </row>
    <row r="38" spans="1:28" s="1" customFormat="1" ht="15">
      <c r="A38" s="72"/>
      <c r="B38" s="72"/>
      <c r="C38" s="74" t="str">
        <f>IF(Budget!F37&lt;&gt;"",Budget!F37,"")</f>
        <v>Other Expenses</v>
      </c>
      <c r="D38" s="87"/>
      <c r="E38" s="96">
        <v>0</v>
      </c>
      <c r="F38" s="96"/>
      <c r="G38" s="96"/>
      <c r="H38" s="96">
        <v>0</v>
      </c>
      <c r="I38" s="96"/>
      <c r="J38" s="96"/>
      <c r="K38" s="96">
        <v>0</v>
      </c>
      <c r="L38" s="96"/>
      <c r="M38" s="96"/>
      <c r="N38" s="96">
        <v>0</v>
      </c>
      <c r="O38" s="96"/>
      <c r="P38" s="96"/>
      <c r="Q38" s="96">
        <v>0</v>
      </c>
      <c r="R38" s="96"/>
      <c r="S38" s="96"/>
      <c r="T38" s="96">
        <v>0</v>
      </c>
      <c r="U38" s="96"/>
      <c r="V38" s="96"/>
      <c r="W38" s="96">
        <v>0</v>
      </c>
      <c r="X38" s="96"/>
      <c r="Y38" s="96"/>
      <c r="Z38" s="96">
        <v>0</v>
      </c>
      <c r="AA38" s="88">
        <f t="shared" ref="AA38:AA47" si="4">E38+H38+K38+N38+Q38+T38+W38+Z38</f>
        <v>0</v>
      </c>
    </row>
    <row r="39" spans="1:28" s="1" customFormat="1" ht="15">
      <c r="A39" s="72"/>
      <c r="B39" s="72"/>
      <c r="C39" s="74" t="str">
        <f>IF(Budget!F38&lt;&gt;"",Budget!F38,"")</f>
        <v>Domestic Travel</v>
      </c>
      <c r="D39" s="87"/>
      <c r="E39" s="96">
        <v>0</v>
      </c>
      <c r="F39" s="96"/>
      <c r="G39" s="96"/>
      <c r="H39" s="96">
        <v>0</v>
      </c>
      <c r="I39" s="96"/>
      <c r="J39" s="96"/>
      <c r="K39" s="96">
        <v>0</v>
      </c>
      <c r="L39" s="96"/>
      <c r="M39" s="96"/>
      <c r="N39" s="96">
        <v>0</v>
      </c>
      <c r="O39" s="96"/>
      <c r="P39" s="96"/>
      <c r="Q39" s="96">
        <v>0</v>
      </c>
      <c r="R39" s="96"/>
      <c r="S39" s="96"/>
      <c r="T39" s="96">
        <v>0</v>
      </c>
      <c r="U39" s="96"/>
      <c r="V39" s="96"/>
      <c r="W39" s="96">
        <v>0</v>
      </c>
      <c r="X39" s="96"/>
      <c r="Y39" s="96"/>
      <c r="Z39" s="96">
        <v>0</v>
      </c>
      <c r="AA39" s="88">
        <f t="shared" si="4"/>
        <v>0</v>
      </c>
    </row>
    <row r="40" spans="1:28" s="1" customFormat="1" ht="15">
      <c r="A40" s="72"/>
      <c r="B40" s="72"/>
      <c r="C40" s="74" t="str">
        <f>IF(Budget!F39&lt;&gt;"",Budget!F39,"")</f>
        <v>Publication Costs</v>
      </c>
      <c r="D40" s="87"/>
      <c r="E40" s="96">
        <v>0</v>
      </c>
      <c r="F40" s="96"/>
      <c r="G40" s="96"/>
      <c r="H40" s="96">
        <v>0</v>
      </c>
      <c r="I40" s="96"/>
      <c r="J40" s="96"/>
      <c r="K40" s="96">
        <v>0</v>
      </c>
      <c r="L40" s="96"/>
      <c r="M40" s="96"/>
      <c r="N40" s="96">
        <v>0</v>
      </c>
      <c r="O40" s="96"/>
      <c r="P40" s="96"/>
      <c r="Q40" s="96">
        <v>0</v>
      </c>
      <c r="R40" s="96"/>
      <c r="S40" s="96"/>
      <c r="T40" s="96">
        <v>0</v>
      </c>
      <c r="U40" s="96"/>
      <c r="V40" s="96"/>
      <c r="W40" s="96">
        <v>0</v>
      </c>
      <c r="X40" s="96"/>
      <c r="Y40" s="96"/>
      <c r="Z40" s="96">
        <v>0</v>
      </c>
      <c r="AA40" s="88">
        <f t="shared" si="4"/>
        <v>0</v>
      </c>
    </row>
    <row r="41" spans="1:28" s="1" customFormat="1" ht="15">
      <c r="A41" s="72"/>
      <c r="B41" s="72"/>
      <c r="C41" s="74" t="str">
        <f>IF(Budget!F40&lt;&gt;"",Budget!F40,"")</f>
        <v>Animal</v>
      </c>
      <c r="D41" s="87"/>
      <c r="E41" s="96">
        <v>0</v>
      </c>
      <c r="F41" s="96"/>
      <c r="G41" s="96"/>
      <c r="H41" s="96">
        <v>0</v>
      </c>
      <c r="I41" s="96"/>
      <c r="J41" s="96"/>
      <c r="K41" s="96">
        <v>0</v>
      </c>
      <c r="L41" s="96"/>
      <c r="M41" s="96"/>
      <c r="N41" s="96">
        <v>0</v>
      </c>
      <c r="O41" s="96"/>
      <c r="P41" s="96"/>
      <c r="Q41" s="96">
        <v>0</v>
      </c>
      <c r="R41" s="96"/>
      <c r="S41" s="96"/>
      <c r="T41" s="96">
        <v>0</v>
      </c>
      <c r="U41" s="96"/>
      <c r="V41" s="96"/>
      <c r="W41" s="96">
        <v>0</v>
      </c>
      <c r="X41" s="96"/>
      <c r="Y41" s="96"/>
      <c r="Z41" s="96">
        <v>0</v>
      </c>
      <c r="AA41" s="88">
        <f t="shared" si="4"/>
        <v>0</v>
      </c>
    </row>
    <row r="42" spans="1:28" s="1" customFormat="1" ht="15" hidden="1" outlineLevel="1">
      <c r="A42" s="72"/>
      <c r="B42" s="72"/>
      <c r="C42" s="74" t="str">
        <f>IF(Budget!F41&lt;&gt;"",Budget!F41,"")</f>
        <v/>
      </c>
      <c r="D42" s="87"/>
      <c r="E42" s="96">
        <v>0</v>
      </c>
      <c r="F42" s="96"/>
      <c r="G42" s="96"/>
      <c r="H42" s="96">
        <v>0</v>
      </c>
      <c r="I42" s="96"/>
      <c r="J42" s="96"/>
      <c r="K42" s="96">
        <v>0</v>
      </c>
      <c r="L42" s="96"/>
      <c r="M42" s="96"/>
      <c r="N42" s="96">
        <v>0</v>
      </c>
      <c r="O42" s="96"/>
      <c r="P42" s="96"/>
      <c r="Q42" s="96">
        <v>0</v>
      </c>
      <c r="R42" s="96"/>
      <c r="S42" s="96"/>
      <c r="T42" s="96">
        <v>0</v>
      </c>
      <c r="U42" s="96"/>
      <c r="V42" s="96"/>
      <c r="W42" s="96">
        <v>0</v>
      </c>
      <c r="X42" s="96"/>
      <c r="Y42" s="96"/>
      <c r="Z42" s="96">
        <v>0</v>
      </c>
      <c r="AA42" s="88">
        <f t="shared" si="4"/>
        <v>0</v>
      </c>
    </row>
    <row r="43" spans="1:28" s="1" customFormat="1" ht="15" hidden="1" outlineLevel="1">
      <c r="A43" s="72"/>
      <c r="B43" s="72"/>
      <c r="C43" s="74" t="str">
        <f>IF(Budget!F42&lt;&gt;"",Budget!F42,"")</f>
        <v/>
      </c>
      <c r="D43" s="87"/>
      <c r="E43" s="96">
        <v>0</v>
      </c>
      <c r="F43" s="96"/>
      <c r="G43" s="96"/>
      <c r="H43" s="96">
        <v>0</v>
      </c>
      <c r="I43" s="96"/>
      <c r="J43" s="96"/>
      <c r="K43" s="96">
        <v>0</v>
      </c>
      <c r="L43" s="96"/>
      <c r="M43" s="96"/>
      <c r="N43" s="96">
        <v>0</v>
      </c>
      <c r="O43" s="96"/>
      <c r="P43" s="96"/>
      <c r="Q43" s="96">
        <v>0</v>
      </c>
      <c r="R43" s="96"/>
      <c r="S43" s="96"/>
      <c r="T43" s="96">
        <v>0</v>
      </c>
      <c r="U43" s="96"/>
      <c r="V43" s="96"/>
      <c r="W43" s="96">
        <v>0</v>
      </c>
      <c r="X43" s="96"/>
      <c r="Y43" s="96"/>
      <c r="Z43" s="96">
        <v>0</v>
      </c>
      <c r="AA43" s="88">
        <f t="shared" si="4"/>
        <v>0</v>
      </c>
    </row>
    <row r="44" spans="1:28" s="1" customFormat="1" ht="15" hidden="1" outlineLevel="1">
      <c r="A44" s="72"/>
      <c r="B44" s="72"/>
      <c r="C44" s="74" t="str">
        <f>IF(Budget!F43&lt;&gt;"",Budget!F43,"")</f>
        <v/>
      </c>
      <c r="D44" s="87"/>
      <c r="E44" s="96">
        <v>0</v>
      </c>
      <c r="F44" s="96"/>
      <c r="G44" s="96"/>
      <c r="H44" s="96">
        <v>0</v>
      </c>
      <c r="I44" s="96"/>
      <c r="J44" s="96"/>
      <c r="K44" s="96">
        <v>0</v>
      </c>
      <c r="L44" s="96"/>
      <c r="M44" s="96"/>
      <c r="N44" s="96">
        <v>0</v>
      </c>
      <c r="O44" s="96"/>
      <c r="P44" s="96"/>
      <c r="Q44" s="96">
        <v>0</v>
      </c>
      <c r="R44" s="96"/>
      <c r="S44" s="96"/>
      <c r="T44" s="96">
        <v>0</v>
      </c>
      <c r="U44" s="96"/>
      <c r="V44" s="96"/>
      <c r="W44" s="96">
        <v>0</v>
      </c>
      <c r="X44" s="96"/>
      <c r="Y44" s="96"/>
      <c r="Z44" s="96">
        <v>0</v>
      </c>
      <c r="AA44" s="88">
        <f t="shared" si="4"/>
        <v>0</v>
      </c>
      <c r="AB44" s="4"/>
    </row>
    <row r="45" spans="1:28" s="1" customFormat="1" ht="15" hidden="1" outlineLevel="1">
      <c r="A45" s="72"/>
      <c r="B45" s="72"/>
      <c r="C45" s="74" t="str">
        <f>IF(Budget!F44&lt;&gt;"",Budget!F44,"")</f>
        <v/>
      </c>
      <c r="D45" s="87"/>
      <c r="E45" s="96">
        <v>0</v>
      </c>
      <c r="F45" s="96"/>
      <c r="G45" s="96"/>
      <c r="H45" s="96">
        <v>0</v>
      </c>
      <c r="I45" s="96"/>
      <c r="J45" s="96"/>
      <c r="K45" s="96">
        <v>0</v>
      </c>
      <c r="L45" s="96"/>
      <c r="M45" s="96"/>
      <c r="N45" s="96">
        <v>0</v>
      </c>
      <c r="O45" s="96"/>
      <c r="P45" s="96"/>
      <c r="Q45" s="96">
        <v>0</v>
      </c>
      <c r="R45" s="96"/>
      <c r="S45" s="96"/>
      <c r="T45" s="96">
        <v>0</v>
      </c>
      <c r="U45" s="96"/>
      <c r="V45" s="96"/>
      <c r="W45" s="96">
        <v>0</v>
      </c>
      <c r="X45" s="96"/>
      <c r="Y45" s="96"/>
      <c r="Z45" s="96">
        <v>0</v>
      </c>
      <c r="AA45" s="88">
        <f t="shared" si="4"/>
        <v>0</v>
      </c>
    </row>
    <row r="46" spans="1:28" s="1" customFormat="1" ht="15" hidden="1" outlineLevel="1">
      <c r="A46" s="72"/>
      <c r="B46" s="72"/>
      <c r="C46" s="74" t="str">
        <f>IF(Budget!F45&lt;&gt;"",Budget!F45,"")</f>
        <v/>
      </c>
      <c r="D46" s="87"/>
      <c r="E46" s="97">
        <v>0</v>
      </c>
      <c r="F46" s="97"/>
      <c r="G46" s="97"/>
      <c r="H46" s="97">
        <v>0</v>
      </c>
      <c r="I46" s="97"/>
      <c r="J46" s="97"/>
      <c r="K46" s="97">
        <v>0</v>
      </c>
      <c r="L46" s="97"/>
      <c r="M46" s="97"/>
      <c r="N46" s="97">
        <v>0</v>
      </c>
      <c r="O46" s="97"/>
      <c r="P46" s="97"/>
      <c r="Q46" s="97">
        <v>0</v>
      </c>
      <c r="R46" s="97"/>
      <c r="S46" s="97"/>
      <c r="T46" s="97">
        <v>0</v>
      </c>
      <c r="U46" s="97"/>
      <c r="V46" s="97"/>
      <c r="W46" s="97">
        <v>0</v>
      </c>
      <c r="X46" s="97"/>
      <c r="Y46" s="97"/>
      <c r="Z46" s="97">
        <v>0</v>
      </c>
      <c r="AA46" s="88">
        <f t="shared" si="4"/>
        <v>0</v>
      </c>
    </row>
    <row r="47" spans="1:28" s="1" customFormat="1" ht="15" collapsed="1">
      <c r="A47" s="72"/>
      <c r="B47" s="74"/>
      <c r="C47" s="92" t="s">
        <v>16</v>
      </c>
      <c r="D47" s="93"/>
      <c r="E47" s="94">
        <f>SUM(E37:E46)</f>
        <v>0</v>
      </c>
      <c r="F47" s="94"/>
      <c r="G47" s="93"/>
      <c r="H47" s="94">
        <f>SUM(H37:H46)</f>
        <v>0</v>
      </c>
      <c r="I47" s="94"/>
      <c r="J47" s="93"/>
      <c r="K47" s="94">
        <f>SUM(K37:K46)</f>
        <v>0</v>
      </c>
      <c r="L47" s="94"/>
      <c r="M47" s="93"/>
      <c r="N47" s="94">
        <f>SUM(N37:N46)</f>
        <v>0</v>
      </c>
      <c r="O47" s="94"/>
      <c r="P47" s="93"/>
      <c r="Q47" s="94">
        <f>SUM(Q37:Q46)</f>
        <v>0</v>
      </c>
      <c r="R47" s="94"/>
      <c r="S47" s="94"/>
      <c r="T47" s="94"/>
      <c r="U47" s="94"/>
      <c r="V47" s="94"/>
      <c r="W47" s="94"/>
      <c r="X47" s="94"/>
      <c r="Y47" s="94"/>
      <c r="Z47" s="94"/>
      <c r="AA47" s="450">
        <f t="shared" si="4"/>
        <v>0</v>
      </c>
    </row>
    <row r="48" spans="1:28" s="1" customFormat="1" ht="15">
      <c r="A48" s="72"/>
      <c r="B48" s="74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8"/>
    </row>
    <row r="49" spans="1:27" s="1" customFormat="1" ht="15">
      <c r="A49" s="277" t="s">
        <v>217</v>
      </c>
      <c r="B49" s="277"/>
      <c r="C49" s="74" t="s">
        <v>41</v>
      </c>
      <c r="D49" s="87"/>
      <c r="E49" s="98">
        <v>0</v>
      </c>
      <c r="F49" s="98"/>
      <c r="G49" s="87"/>
      <c r="H49" s="98">
        <v>0</v>
      </c>
      <c r="I49" s="98"/>
      <c r="J49" s="87"/>
      <c r="K49" s="98">
        <v>0</v>
      </c>
      <c r="L49" s="98"/>
      <c r="M49" s="87"/>
      <c r="N49" s="98">
        <v>0</v>
      </c>
      <c r="O49" s="98"/>
      <c r="P49" s="87"/>
      <c r="Q49" s="98">
        <v>0</v>
      </c>
      <c r="R49" s="98"/>
      <c r="S49" s="98"/>
      <c r="T49" s="98">
        <v>0</v>
      </c>
      <c r="U49" s="98"/>
      <c r="V49" s="98"/>
      <c r="W49" s="98">
        <v>0</v>
      </c>
      <c r="X49" s="98"/>
      <c r="Y49" s="98"/>
      <c r="Z49" s="98">
        <v>0</v>
      </c>
      <c r="AA49" s="88">
        <f>E49+H49+K49+N49+Q49+T49+W49+Z49</f>
        <v>0</v>
      </c>
    </row>
    <row r="50" spans="1:27" s="1" customFormat="1" ht="15">
      <c r="A50" s="72"/>
      <c r="B50" s="72"/>
      <c r="C50" s="76" t="s">
        <v>149</v>
      </c>
      <c r="D50" s="99"/>
      <c r="E50" s="451">
        <f>'Effort and OPS Salary'!K21*D15*$C$15</f>
        <v>0</v>
      </c>
      <c r="F50" s="90"/>
      <c r="G50" s="90"/>
      <c r="H50" s="451">
        <f>'Effort and OPS Salary'!K22*G15*$C$15</f>
        <v>0</v>
      </c>
      <c r="I50" s="90"/>
      <c r="J50" s="90"/>
      <c r="K50" s="451">
        <f>'Effort and OPS Salary'!K23*J15*$C$15</f>
        <v>0</v>
      </c>
      <c r="L50" s="90"/>
      <c r="M50" s="90"/>
      <c r="N50" s="451">
        <f>'Effort and OPS Salary'!K24*M15*$C$15</f>
        <v>0</v>
      </c>
      <c r="O50" s="90"/>
      <c r="P50" s="90"/>
      <c r="Q50" s="451">
        <f>'Effort and OPS Salary'!K25*P15*$C$15</f>
        <v>0</v>
      </c>
      <c r="R50" s="90"/>
      <c r="S50" s="90"/>
      <c r="T50" s="451">
        <f>'Effort and OPS Salary'!N25*S15*$C$15</f>
        <v>0</v>
      </c>
      <c r="U50" s="90"/>
      <c r="V50" s="90"/>
      <c r="W50" s="451">
        <f>'Effort and OPS Salary'!Q25*V15*$C$15</f>
        <v>0</v>
      </c>
      <c r="X50" s="90"/>
      <c r="Y50" s="90"/>
      <c r="Z50" s="451">
        <f>'Effort and OPS Salary'!T25*Y15*$C$15</f>
        <v>0</v>
      </c>
      <c r="AA50" s="88">
        <f>E50+H50+K50+N50+Q50+T50+W50+Z50</f>
        <v>0</v>
      </c>
    </row>
    <row r="51" spans="1:27" s="1" customFormat="1" ht="15">
      <c r="A51" s="72"/>
      <c r="B51" s="72"/>
      <c r="C51" s="76" t="s">
        <v>83</v>
      </c>
      <c r="D51" s="87"/>
      <c r="E51" s="90">
        <v>0</v>
      </c>
      <c r="F51" s="90"/>
      <c r="G51" s="90"/>
      <c r="H51" s="90">
        <v>0</v>
      </c>
      <c r="I51" s="90"/>
      <c r="J51" s="90"/>
      <c r="K51" s="90">
        <v>0</v>
      </c>
      <c r="L51" s="90"/>
      <c r="M51" s="90"/>
      <c r="N51" s="90">
        <v>0</v>
      </c>
      <c r="O51" s="90"/>
      <c r="P51" s="90"/>
      <c r="Q51" s="90">
        <v>0</v>
      </c>
      <c r="R51" s="98"/>
      <c r="S51" s="98"/>
      <c r="T51" s="90">
        <v>0</v>
      </c>
      <c r="U51" s="90"/>
      <c r="V51" s="90"/>
      <c r="W51" s="90">
        <v>0</v>
      </c>
      <c r="X51" s="90"/>
      <c r="Y51" s="90"/>
      <c r="Z51" s="90">
        <v>0</v>
      </c>
      <c r="AA51" s="88">
        <f>E51+H51+K51+N51+Q51+T51+W51+Z51</f>
        <v>0</v>
      </c>
    </row>
    <row r="52" spans="1:27" s="1" customFormat="1" ht="15">
      <c r="A52" s="72"/>
      <c r="B52" s="72"/>
      <c r="C52" s="74" t="s">
        <v>214</v>
      </c>
      <c r="D52" s="89"/>
      <c r="E52" s="89">
        <v>0</v>
      </c>
      <c r="F52" s="89"/>
      <c r="G52" s="89"/>
      <c r="H52" s="89">
        <v>0</v>
      </c>
      <c r="I52" s="89"/>
      <c r="J52" s="89"/>
      <c r="K52" s="89">
        <v>0</v>
      </c>
      <c r="L52" s="89"/>
      <c r="M52" s="89"/>
      <c r="N52" s="89">
        <v>0</v>
      </c>
      <c r="O52" s="89"/>
      <c r="P52" s="89"/>
      <c r="Q52" s="89">
        <v>0</v>
      </c>
      <c r="R52" s="402"/>
      <c r="S52" s="403"/>
      <c r="T52" s="90">
        <v>0</v>
      </c>
      <c r="U52" s="90"/>
      <c r="V52" s="90"/>
      <c r="W52" s="90">
        <v>0</v>
      </c>
      <c r="X52" s="90"/>
      <c r="Y52" s="90"/>
      <c r="Z52" s="90">
        <v>0</v>
      </c>
      <c r="AA52" s="88">
        <f>E52+H52+K52+N52+Q52+T52+W52+Z52</f>
        <v>0</v>
      </c>
    </row>
    <row r="53" spans="1:27" s="1" customFormat="1" ht="15">
      <c r="A53" s="72"/>
      <c r="B53" s="74"/>
      <c r="C53" s="92" t="s">
        <v>17</v>
      </c>
      <c r="D53" s="100"/>
      <c r="E53" s="94">
        <f>SUM(E49:E51)</f>
        <v>0</v>
      </c>
      <c r="F53" s="94"/>
      <c r="G53" s="100"/>
      <c r="H53" s="94">
        <f>SUM(H49:H51)</f>
        <v>0</v>
      </c>
      <c r="I53" s="94"/>
      <c r="J53" s="100"/>
      <c r="K53" s="94">
        <f>SUM(K49:K51)</f>
        <v>0</v>
      </c>
      <c r="L53" s="94"/>
      <c r="M53" s="100"/>
      <c r="N53" s="94">
        <f>SUM(N49:N51)</f>
        <v>0</v>
      </c>
      <c r="O53" s="94"/>
      <c r="P53" s="100"/>
      <c r="Q53" s="94">
        <f>SUM(Q49:Q51)</f>
        <v>0</v>
      </c>
      <c r="R53" s="94"/>
      <c r="S53" s="94"/>
      <c r="T53" s="449">
        <f>SUM(T49:T52)</f>
        <v>0</v>
      </c>
      <c r="U53" s="449"/>
      <c r="V53" s="449"/>
      <c r="W53" s="449">
        <f>SUM(W49:W52)</f>
        <v>0</v>
      </c>
      <c r="X53" s="449"/>
      <c r="Y53" s="449"/>
      <c r="Z53" s="449">
        <f>SUM(Z49:Z51)</f>
        <v>0</v>
      </c>
      <c r="AA53" s="450">
        <f>E53+H53+K53+N53+Q53+T53+W53+Z53</f>
        <v>0</v>
      </c>
    </row>
    <row r="54" spans="1:27" s="1" customFormat="1" ht="15">
      <c r="A54" s="72"/>
      <c r="B54" s="74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8"/>
    </row>
    <row r="55" spans="1:27" s="1" customFormat="1" ht="15">
      <c r="A55" s="75" t="s">
        <v>33</v>
      </c>
      <c r="B55" s="77"/>
      <c r="C55" s="92" t="s">
        <v>34</v>
      </c>
      <c r="D55" s="93"/>
      <c r="E55" s="94">
        <f>E34+E47+E53</f>
        <v>0</v>
      </c>
      <c r="F55" s="94"/>
      <c r="G55" s="93"/>
      <c r="H55" s="94">
        <f>H34+H47+H53</f>
        <v>0</v>
      </c>
      <c r="I55" s="94"/>
      <c r="J55" s="93"/>
      <c r="K55" s="94">
        <f>K34+K47+K53</f>
        <v>0</v>
      </c>
      <c r="L55" s="94"/>
      <c r="M55" s="93"/>
      <c r="N55" s="94">
        <f>N34+N47+N53</f>
        <v>0</v>
      </c>
      <c r="O55" s="94"/>
      <c r="P55" s="93"/>
      <c r="Q55" s="94">
        <f>Q34+Q47+Q53</f>
        <v>0</v>
      </c>
      <c r="R55" s="94"/>
      <c r="S55" s="94"/>
      <c r="T55" s="94">
        <f>T34+T47+T53</f>
        <v>0</v>
      </c>
      <c r="U55" s="94"/>
      <c r="V55" s="94"/>
      <c r="W55" s="94">
        <f>W34+W47+W53</f>
        <v>0</v>
      </c>
      <c r="X55" s="94"/>
      <c r="Y55" s="94"/>
      <c r="Z55" s="94">
        <f>Z34+Z47+Z53</f>
        <v>0</v>
      </c>
      <c r="AA55" s="88">
        <f>SUM(E55,H55,K55,N55,Q55,T55,W55,Z55)</f>
        <v>0</v>
      </c>
    </row>
    <row r="56" spans="1:27" s="1" customFormat="1" ht="15">
      <c r="A56" s="78"/>
      <c r="B56" s="79"/>
      <c r="C56" s="103"/>
      <c r="D56" s="101"/>
      <c r="E56" s="104"/>
      <c r="F56" s="104"/>
      <c r="G56" s="101"/>
      <c r="H56" s="104"/>
      <c r="I56" s="104"/>
      <c r="J56" s="101"/>
      <c r="K56" s="104"/>
      <c r="L56" s="104"/>
      <c r="M56" s="101"/>
      <c r="N56" s="104"/>
      <c r="O56" s="104"/>
      <c r="P56" s="101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88"/>
    </row>
    <row r="57" spans="1:27" s="1" customFormat="1" ht="15">
      <c r="A57" s="73" t="s">
        <v>85</v>
      </c>
      <c r="B57" s="80"/>
      <c r="C57" s="105"/>
      <c r="D57" s="105"/>
      <c r="E57" s="88">
        <v>0</v>
      </c>
      <c r="F57" s="105"/>
      <c r="G57" s="105"/>
      <c r="H57" s="88">
        <v>0</v>
      </c>
      <c r="I57" s="105"/>
      <c r="J57" s="105"/>
      <c r="K57" s="88">
        <v>0</v>
      </c>
      <c r="L57" s="105"/>
      <c r="M57" s="105"/>
      <c r="N57" s="88">
        <v>0</v>
      </c>
      <c r="O57" s="105"/>
      <c r="P57" s="105"/>
      <c r="Q57" s="88">
        <v>0</v>
      </c>
      <c r="R57" s="88"/>
      <c r="S57" s="88"/>
      <c r="T57" s="88">
        <v>0</v>
      </c>
      <c r="U57" s="88"/>
      <c r="V57" s="88"/>
      <c r="W57" s="88">
        <v>0</v>
      </c>
      <c r="X57" s="88"/>
      <c r="Y57" s="88"/>
      <c r="Z57" s="88">
        <v>0</v>
      </c>
      <c r="AA57" s="88">
        <f>SUM(E57,H57,K57,N57,Q57,T57,W57,Z57)</f>
        <v>0</v>
      </c>
    </row>
    <row r="58" spans="1:27" s="1" customFormat="1" ht="15">
      <c r="A58" s="78"/>
      <c r="B58" s="79"/>
      <c r="C58" s="103"/>
      <c r="D58" s="101"/>
      <c r="E58" s="104"/>
      <c r="F58" s="104"/>
      <c r="G58" s="101"/>
      <c r="H58" s="104"/>
      <c r="I58" s="104"/>
      <c r="J58" s="101"/>
      <c r="K58" s="104"/>
      <c r="L58" s="104"/>
      <c r="M58" s="101"/>
      <c r="N58" s="104"/>
      <c r="O58" s="104"/>
      <c r="P58" s="101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88"/>
    </row>
    <row r="59" spans="1:27" s="1" customFormat="1" ht="15">
      <c r="A59" s="81" t="s">
        <v>86</v>
      </c>
      <c r="B59" s="82"/>
      <c r="C59" s="106"/>
      <c r="D59" s="106"/>
      <c r="E59" s="107">
        <f>E57-E55</f>
        <v>0</v>
      </c>
      <c r="F59" s="106"/>
      <c r="G59" s="106"/>
      <c r="H59" s="107">
        <f>H57-H55</f>
        <v>0</v>
      </c>
      <c r="I59" s="106"/>
      <c r="J59" s="106"/>
      <c r="K59" s="108">
        <f>K57-K55</f>
        <v>0</v>
      </c>
      <c r="L59" s="106"/>
      <c r="M59" s="106"/>
      <c r="N59" s="108">
        <f>N57-N55</f>
        <v>0</v>
      </c>
      <c r="O59" s="106"/>
      <c r="P59" s="106"/>
      <c r="Q59" s="108">
        <f>Q57-Q55</f>
        <v>0</v>
      </c>
      <c r="R59" s="108"/>
      <c r="S59" s="108"/>
      <c r="T59" s="108">
        <f>T57-T55</f>
        <v>0</v>
      </c>
      <c r="U59" s="108"/>
      <c r="V59" s="108"/>
      <c r="W59" s="108">
        <f>W57-W55</f>
        <v>0</v>
      </c>
      <c r="X59" s="108"/>
      <c r="Y59" s="108"/>
      <c r="Z59" s="108">
        <f>Z57-Z55</f>
        <v>0</v>
      </c>
      <c r="AA59" s="88">
        <f>SUM(E59,H59,K59,N59,Q59,T59,W59,Z59)</f>
        <v>0</v>
      </c>
    </row>
    <row r="60" spans="1:27" s="1" customFormat="1" ht="15">
      <c r="A60" s="78"/>
      <c r="B60" s="79"/>
      <c r="C60" s="103"/>
      <c r="D60" s="101"/>
      <c r="E60" s="104"/>
      <c r="F60" s="104"/>
      <c r="G60" s="101"/>
      <c r="H60" s="104"/>
      <c r="I60" s="104"/>
      <c r="J60" s="101"/>
      <c r="K60" s="104"/>
      <c r="L60" s="104"/>
      <c r="M60" s="101"/>
      <c r="N60" s="104"/>
      <c r="O60" s="104"/>
      <c r="P60" s="101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88"/>
    </row>
    <row r="61" spans="1:27" s="1" customFormat="1" ht="15">
      <c r="A61" s="74"/>
      <c r="B61" s="74"/>
      <c r="C61" s="87"/>
      <c r="D61" s="69"/>
      <c r="E61" s="91"/>
      <c r="F61" s="91"/>
      <c r="G61" s="69"/>
      <c r="H61" s="91"/>
      <c r="I61" s="91"/>
      <c r="J61" s="69"/>
      <c r="K61" s="91"/>
      <c r="L61" s="91"/>
      <c r="M61" s="69"/>
      <c r="N61" s="91"/>
      <c r="O61" s="91"/>
      <c r="P61" s="69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88"/>
    </row>
    <row r="62" spans="1:27" s="1" customFormat="1" ht="15">
      <c r="A62" s="83" t="s">
        <v>35</v>
      </c>
      <c r="B62" s="84"/>
      <c r="C62" s="111" t="s">
        <v>36</v>
      </c>
      <c r="D62" s="109"/>
      <c r="E62" s="68">
        <f>E55-E53</f>
        <v>0</v>
      </c>
      <c r="F62" s="68"/>
      <c r="G62" s="109"/>
      <c r="H62" s="68">
        <f>H55-H53</f>
        <v>0</v>
      </c>
      <c r="I62" s="68"/>
      <c r="J62" s="109"/>
      <c r="K62" s="68">
        <f>K55-K53</f>
        <v>0</v>
      </c>
      <c r="L62" s="68"/>
      <c r="M62" s="109"/>
      <c r="N62" s="68">
        <f>N55-N53</f>
        <v>0</v>
      </c>
      <c r="O62" s="68"/>
      <c r="P62" s="109"/>
      <c r="Q62" s="68">
        <f>Q55-Q53</f>
        <v>0</v>
      </c>
      <c r="R62" s="68"/>
      <c r="S62" s="68"/>
      <c r="T62" s="68">
        <f>T55-T53</f>
        <v>0</v>
      </c>
      <c r="U62" s="68"/>
      <c r="V62" s="68"/>
      <c r="W62" s="68">
        <f>W55-W53</f>
        <v>0</v>
      </c>
      <c r="X62" s="68"/>
      <c r="Y62" s="68"/>
      <c r="Z62" s="68">
        <f>Z55-Z53</f>
        <v>0</v>
      </c>
      <c r="AA62" s="88">
        <f>SUM(E62,H62,K62,N62,Q62,T62,W62,Z62)</f>
        <v>0</v>
      </c>
    </row>
    <row r="63" spans="1:27" s="1" customFormat="1" ht="15">
      <c r="A63" s="72"/>
      <c r="B63" s="74"/>
      <c r="C63" s="69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8"/>
    </row>
    <row r="64" spans="1:27" s="1" customFormat="1" ht="15">
      <c r="A64" s="83" t="s">
        <v>24</v>
      </c>
      <c r="B64" s="84"/>
      <c r="C64" s="112" t="s">
        <v>18</v>
      </c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8"/>
    </row>
    <row r="65" spans="1:29" s="1" customFormat="1" ht="15">
      <c r="A65" s="74"/>
      <c r="B65" s="74"/>
      <c r="C65" s="279">
        <f>Budget!F64</f>
        <v>0.52500000000000002</v>
      </c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8"/>
    </row>
    <row r="66" spans="1:29" s="1" customFormat="1" ht="15">
      <c r="A66" s="74"/>
      <c r="B66" s="74"/>
      <c r="C66" s="111" t="s">
        <v>19</v>
      </c>
      <c r="D66" s="110"/>
      <c r="E66" s="68">
        <f>E62*$C65</f>
        <v>0</v>
      </c>
      <c r="F66" s="110"/>
      <c r="G66" s="110"/>
      <c r="H66" s="68">
        <f>H62*$C65</f>
        <v>0</v>
      </c>
      <c r="I66" s="110"/>
      <c r="J66" s="110"/>
      <c r="K66" s="68">
        <f>K62*$C65</f>
        <v>0</v>
      </c>
      <c r="L66" s="110"/>
      <c r="M66" s="110"/>
      <c r="N66" s="68">
        <f>N62*$C65</f>
        <v>0</v>
      </c>
      <c r="O66" s="110"/>
      <c r="P66" s="110"/>
      <c r="Q66" s="68">
        <f>Q62*$C65</f>
        <v>0</v>
      </c>
      <c r="R66" s="68"/>
      <c r="S66" s="68"/>
      <c r="T66" s="68">
        <f>T62*$C65</f>
        <v>0</v>
      </c>
      <c r="U66" s="68"/>
      <c r="V66" s="68"/>
      <c r="W66" s="68">
        <f>W62*$C65</f>
        <v>0</v>
      </c>
      <c r="X66" s="68"/>
      <c r="Y66" s="68"/>
      <c r="Z66" s="68">
        <f>Z62*$C65</f>
        <v>0</v>
      </c>
      <c r="AA66" s="88">
        <f>SUM(E66,H66,K66,N66,Q66,T66,W66,Z66)</f>
        <v>0</v>
      </c>
    </row>
    <row r="67" spans="1:29" s="1" customFormat="1" ht="15">
      <c r="A67" s="74"/>
      <c r="B67" s="74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8"/>
    </row>
    <row r="68" spans="1:29" s="1" customFormat="1" ht="15">
      <c r="A68" s="74"/>
      <c r="B68" s="74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8"/>
    </row>
    <row r="69" spans="1:29" s="1" customFormat="1" ht="15">
      <c r="A69" s="73" t="s">
        <v>20</v>
      </c>
      <c r="B69" s="80"/>
      <c r="C69" s="105"/>
      <c r="D69" s="105"/>
      <c r="E69" s="88">
        <f>E55+E66</f>
        <v>0</v>
      </c>
      <c r="F69" s="88"/>
      <c r="G69" s="105"/>
      <c r="H69" s="88">
        <f>H55+H66</f>
        <v>0</v>
      </c>
      <c r="I69" s="88"/>
      <c r="J69" s="105"/>
      <c r="K69" s="88">
        <f>K55+K66</f>
        <v>0</v>
      </c>
      <c r="L69" s="88"/>
      <c r="M69" s="105"/>
      <c r="N69" s="88">
        <f>N55+N66</f>
        <v>0</v>
      </c>
      <c r="O69" s="88"/>
      <c r="P69" s="105"/>
      <c r="Q69" s="88">
        <f>Q55+Q66</f>
        <v>0</v>
      </c>
      <c r="R69" s="88"/>
      <c r="S69" s="88"/>
      <c r="T69" s="88">
        <f>T55+T66</f>
        <v>0</v>
      </c>
      <c r="U69" s="88"/>
      <c r="V69" s="88"/>
      <c r="W69" s="88">
        <f>W55+W66</f>
        <v>0</v>
      </c>
      <c r="X69" s="88"/>
      <c r="Y69" s="88"/>
      <c r="Z69" s="88">
        <f>Z55+Z66</f>
        <v>0</v>
      </c>
      <c r="AA69" s="88">
        <f>SUM(E69,H69,K69,N69,Q69,T69,W69,Z69)</f>
        <v>0</v>
      </c>
      <c r="AB69" s="102"/>
    </row>
    <row r="70" spans="1:29" s="1" customFormat="1" ht="15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102"/>
    </row>
    <row r="71" spans="1:29" s="1" customFormat="1" ht="15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66"/>
    </row>
    <row r="72" spans="1:29">
      <c r="A72" s="1"/>
      <c r="B72" s="1"/>
      <c r="C72" s="1"/>
      <c r="D72" s="1"/>
      <c r="E72" s="1"/>
      <c r="F72" s="3"/>
      <c r="G72" s="3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5"/>
    </row>
    <row r="73" spans="1:29">
      <c r="A73" s="113"/>
      <c r="B73" s="113"/>
      <c r="C73" s="113"/>
      <c r="D73" s="11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5"/>
    </row>
    <row r="74" spans="1:29">
      <c r="A74" s="4"/>
      <c r="B74" s="15"/>
      <c r="C74" s="15"/>
      <c r="D74" s="15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5"/>
    </row>
    <row r="75" spans="1:29">
      <c r="A75" s="4"/>
      <c r="B75" s="16"/>
      <c r="C75" s="16"/>
      <c r="D75" s="16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5"/>
    </row>
    <row r="76" spans="1:29">
      <c r="A76" s="4"/>
      <c r="B76" s="16"/>
      <c r="C76" s="16"/>
      <c r="D76" s="16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5"/>
    </row>
    <row r="77" spans="1:29">
      <c r="A77" s="4"/>
      <c r="B77" s="16"/>
      <c r="C77" s="16"/>
      <c r="D77" s="16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5"/>
    </row>
    <row r="78" spans="1:29">
      <c r="A78" s="4"/>
      <c r="B78" s="16"/>
      <c r="C78" s="16"/>
      <c r="D78" s="16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5"/>
    </row>
    <row r="79" spans="1:29">
      <c r="A79" s="4"/>
      <c r="B79" s="16"/>
      <c r="C79" s="16"/>
      <c r="D79" s="16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5"/>
    </row>
    <row r="80" spans="1:29">
      <c r="A80" s="4"/>
      <c r="B80" s="16"/>
      <c r="C80" s="16"/>
      <c r="D80" s="16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5"/>
      <c r="AC80" s="5"/>
    </row>
    <row r="81" spans="1:29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1:29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1:29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1:29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1:29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1:29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1:29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1:29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1:29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1:29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1:29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1:29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1:29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1:29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1:29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spans="1:29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spans="1:29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1:29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1:29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1:29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1:29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1:29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1:29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1:29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1:29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1:29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1:29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1:29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1:29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1:29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1:29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1:29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1:29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1:29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1:29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29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1:29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1:29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1:29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1:29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1:29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1:29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1:29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1:29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1:29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1:29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1:29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spans="1:29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spans="1:29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 spans="1:29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 spans="1:29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 spans="1:29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spans="1:29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 spans="1:29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 spans="1:29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spans="1:29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1:29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1:29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1:29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1:29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1:29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1:29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1:29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1:29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1:29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1:29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1:29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1:29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1:29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1:29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1:29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spans="1:29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</row>
    <row r="153" spans="1:29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</row>
    <row r="154" spans="1:29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</row>
    <row r="155" spans="1:29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</row>
    <row r="156" spans="1:29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</row>
    <row r="157" spans="1:29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</row>
    <row r="158" spans="1:29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</row>
    <row r="159" spans="1:29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</row>
    <row r="160" spans="1:29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</row>
    <row r="161" spans="1:29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</row>
    <row r="162" spans="1:29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</row>
    <row r="163" spans="1:29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</row>
    <row r="164" spans="1:29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</row>
    <row r="165" spans="1:29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</row>
    <row r="166" spans="1:29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</row>
    <row r="167" spans="1:29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</row>
    <row r="168" spans="1:29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</row>
    <row r="169" spans="1:29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</row>
    <row r="170" spans="1:29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</row>
    <row r="171" spans="1:29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</row>
    <row r="172" spans="1:29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</row>
    <row r="173" spans="1:29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</row>
    <row r="174" spans="1:29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</row>
    <row r="175" spans="1:29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</row>
    <row r="176" spans="1:29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</row>
    <row r="177" spans="1:29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 spans="1:29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</row>
    <row r="179" spans="1:29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</row>
    <row r="180" spans="1:29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</row>
    <row r="181" spans="1:29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spans="1:29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</row>
    <row r="183" spans="1:29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</row>
    <row r="184" spans="1:29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</row>
    <row r="185" spans="1:29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</row>
    <row r="186" spans="1:29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</row>
    <row r="187" spans="1:29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</row>
    <row r="188" spans="1:29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</row>
    <row r="189" spans="1:29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</row>
    <row r="190" spans="1:29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</row>
    <row r="191" spans="1:29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</row>
    <row r="192" spans="1:29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</row>
    <row r="193" spans="1:29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</row>
    <row r="194" spans="1:29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</row>
    <row r="195" spans="1:29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</row>
    <row r="196" spans="1:29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</row>
    <row r="197" spans="1:29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</row>
    <row r="198" spans="1:29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</row>
    <row r="199" spans="1:29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</row>
    <row r="200" spans="1:29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</row>
    <row r="201" spans="1:29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</row>
    <row r="202" spans="1:29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</row>
    <row r="203" spans="1:29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</row>
    <row r="204" spans="1:29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</row>
    <row r="205" spans="1:29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</row>
    <row r="206" spans="1:29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</row>
    <row r="207" spans="1:29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</row>
    <row r="208" spans="1:29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</row>
    <row r="209" spans="1:29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</row>
    <row r="210" spans="1:29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</row>
    <row r="211" spans="1:29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</row>
    <row r="212" spans="1:29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</row>
    <row r="213" spans="1:29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</row>
    <row r="214" spans="1:29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</row>
    <row r="215" spans="1:29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</row>
    <row r="216" spans="1:29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</row>
    <row r="217" spans="1:29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</row>
    <row r="218" spans="1:29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</row>
    <row r="219" spans="1:29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</row>
    <row r="220" spans="1:29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</row>
    <row r="221" spans="1:29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</row>
    <row r="222" spans="1:29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</row>
    <row r="223" spans="1:29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</row>
    <row r="224" spans="1:29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</row>
    <row r="225" spans="1:29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</row>
    <row r="226" spans="1:29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</row>
    <row r="227" spans="1:29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</row>
    <row r="228" spans="1:29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</row>
    <row r="229" spans="1:29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</row>
    <row r="230" spans="1:29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</row>
    <row r="231" spans="1:29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</row>
    <row r="232" spans="1:29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</row>
    <row r="233" spans="1:29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</row>
    <row r="234" spans="1:29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</row>
    <row r="235" spans="1:29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</row>
    <row r="236" spans="1:29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</row>
    <row r="237" spans="1:29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</row>
    <row r="238" spans="1:29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</row>
    <row r="239" spans="1:29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</row>
    <row r="240" spans="1:29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</row>
    <row r="241" spans="1:29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</row>
    <row r="242" spans="1:29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</row>
    <row r="243" spans="1:29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</row>
    <row r="244" spans="1:29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</row>
    <row r="245" spans="1:29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</row>
    <row r="246" spans="1:29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</row>
    <row r="247" spans="1:29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</row>
    <row r="248" spans="1:29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</row>
    <row r="249" spans="1:29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</row>
    <row r="250" spans="1:29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</row>
    <row r="251" spans="1:29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</row>
    <row r="252" spans="1:29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</row>
    <row r="253" spans="1:29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</row>
    <row r="254" spans="1:29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</row>
    <row r="255" spans="1:29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</row>
    <row r="256" spans="1:29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</row>
    <row r="257" spans="1:29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</row>
    <row r="258" spans="1:29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</row>
    <row r="259" spans="1:29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</row>
    <row r="260" spans="1:29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</row>
    <row r="261" spans="1:29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</row>
    <row r="262" spans="1:29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</row>
    <row r="263" spans="1:29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</row>
    <row r="264" spans="1:29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</row>
    <row r="265" spans="1:29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</row>
    <row r="266" spans="1:29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</row>
    <row r="267" spans="1:29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</row>
    <row r="268" spans="1:29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</row>
    <row r="269" spans="1:29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</row>
    <row r="270" spans="1:29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</row>
    <row r="271" spans="1:29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</row>
    <row r="272" spans="1:29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</row>
    <row r="273" spans="1:29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</row>
    <row r="274" spans="1:29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</row>
    <row r="275" spans="1:29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</row>
    <row r="276" spans="1:29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</row>
    <row r="277" spans="1:29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</row>
    <row r="278" spans="1:29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</row>
    <row r="279" spans="1:29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</row>
    <row r="280" spans="1:29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</row>
    <row r="281" spans="1:29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</row>
    <row r="282" spans="1:29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</row>
    <row r="283" spans="1:29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</row>
    <row r="284" spans="1:29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</row>
    <row r="285" spans="1:29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</row>
    <row r="286" spans="1:29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</row>
    <row r="287" spans="1:29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</row>
    <row r="288" spans="1:29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</row>
    <row r="289" spans="1:29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</row>
    <row r="290" spans="1:29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</row>
    <row r="291" spans="1:29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</row>
    <row r="292" spans="1:29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</row>
    <row r="293" spans="1:29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</row>
    <row r="294" spans="1:29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</row>
    <row r="295" spans="1:29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</row>
    <row r="296" spans="1:29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</row>
    <row r="297" spans="1:29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</row>
    <row r="298" spans="1:29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</row>
    <row r="299" spans="1:29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</row>
    <row r="300" spans="1:29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</row>
    <row r="301" spans="1:29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</row>
    <row r="302" spans="1:29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</row>
    <row r="303" spans="1:29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</row>
    <row r="304" spans="1:29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</row>
    <row r="305" spans="1:29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</row>
    <row r="306" spans="1:29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</row>
    <row r="307" spans="1:29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</row>
    <row r="308" spans="1:29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</row>
    <row r="309" spans="1:29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</row>
    <row r="310" spans="1:29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</row>
    <row r="311" spans="1:29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</row>
    <row r="312" spans="1:29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</row>
    <row r="313" spans="1:29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</row>
    <row r="314" spans="1:29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</row>
    <row r="315" spans="1:29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</row>
    <row r="316" spans="1:29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</row>
    <row r="317" spans="1:29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</row>
    <row r="318" spans="1:29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</row>
    <row r="319" spans="1:29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</row>
    <row r="320" spans="1:29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</sheetData>
  <mergeCells count="32">
    <mergeCell ref="R8:T8"/>
    <mergeCell ref="U8:W8"/>
    <mergeCell ref="X8:Z8"/>
    <mergeCell ref="C9:E9"/>
    <mergeCell ref="F9:H9"/>
    <mergeCell ref="I9:K9"/>
    <mergeCell ref="L9:N9"/>
    <mergeCell ref="O9:Q9"/>
    <mergeCell ref="R9:T9"/>
    <mergeCell ref="U9:W9"/>
    <mergeCell ref="X9:Z9"/>
    <mergeCell ref="C8:E8"/>
    <mergeCell ref="F8:H8"/>
    <mergeCell ref="I8:K8"/>
    <mergeCell ref="L8:N8"/>
    <mergeCell ref="O8:Q8"/>
    <mergeCell ref="C10:E10"/>
    <mergeCell ref="F10:H10"/>
    <mergeCell ref="I10:K10"/>
    <mergeCell ref="L10:N10"/>
    <mergeCell ref="O10:Q10"/>
    <mergeCell ref="R10:T10"/>
    <mergeCell ref="U10:W10"/>
    <mergeCell ref="X10:Z10"/>
    <mergeCell ref="AP15:AQ15"/>
    <mergeCell ref="AR15:AS15"/>
    <mergeCell ref="AD15:AE15"/>
    <mergeCell ref="AF15:AG15"/>
    <mergeCell ref="AH15:AI15"/>
    <mergeCell ref="AJ15:AK15"/>
    <mergeCell ref="AL15:AM15"/>
    <mergeCell ref="AN15:AO15"/>
  </mergeCells>
  <dataValidations count="1">
    <dataValidation type="list" showInputMessage="1" showErrorMessage="1" promptTitle="NIH Salary Cap: " prompt="FY19 - $192,300" sqref="B4" xr:uid="{00000000-0002-0000-0600-000000000000}">
      <formula1>"$192300, none"</formula1>
    </dataValidation>
  </dataValidations>
  <hyperlinks>
    <hyperlink ref="A26" r:id="rId1" display="FRINGES:" xr:uid="{00000000-0004-0000-0600-000000000000}"/>
    <hyperlink ref="A64" r:id="rId2" xr:uid="{00000000-0004-0000-0600-000001000000}"/>
    <hyperlink ref="A4" r:id="rId3" xr:uid="{00000000-0004-0000-0600-000002000000}"/>
    <hyperlink ref="A11" r:id="rId4" xr:uid="{00000000-0004-0000-0600-000003000000}"/>
    <hyperlink ref="C50" r:id="rId5" xr:uid="{00000000-0004-0000-0600-000004000000}"/>
    <hyperlink ref="C51" r:id="rId6" xr:uid="{00000000-0004-0000-0600-000005000000}"/>
    <hyperlink ref="B17" r:id="rId7" xr:uid="{00000000-0004-0000-0600-000006000000}"/>
  </hyperlinks>
  <pageMargins left="0.75" right="0.75" top="1" bottom="1" header="0.5" footer="0.5"/>
  <pageSetup scale="43" orientation="portrait" horizontalDpi="4294967292" verticalDpi="429496729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T320"/>
  <sheetViews>
    <sheetView topLeftCell="A2" zoomScale="80" zoomScaleNormal="80" workbookViewId="0">
      <pane ySplit="9" topLeftCell="A11" activePane="bottomLeft" state="frozen"/>
      <selection activeCell="F27" sqref="F27"/>
      <selection pane="bottomLeft" activeCell="B2" sqref="B2:O2"/>
    </sheetView>
  </sheetViews>
  <sheetFormatPr defaultColWidth="11.09765625" defaultRowHeight="15.6" outlineLevelRow="1" outlineLevelCol="1"/>
  <cols>
    <col min="1" max="1" width="32.59765625" customWidth="1"/>
    <col min="2" max="2" width="19.3984375" customWidth="1"/>
    <col min="3" max="3" width="18.59765625" customWidth="1"/>
    <col min="4" max="4" width="19.19921875" customWidth="1"/>
    <col min="5" max="5" width="12.19921875" customWidth="1"/>
    <col min="6" max="6" width="12.09765625" customWidth="1"/>
    <col min="7" max="7" width="12.69921875" customWidth="1"/>
    <col min="8" max="8" width="11" customWidth="1"/>
    <col min="9" max="9" width="12.5" customWidth="1"/>
    <col min="10" max="10" width="12" customWidth="1"/>
    <col min="11" max="11" width="11" customWidth="1"/>
    <col min="12" max="12" width="11.19921875" customWidth="1"/>
    <col min="13" max="13" width="12.3984375" customWidth="1"/>
    <col min="14" max="14" width="10.8984375" customWidth="1"/>
    <col min="15" max="15" width="11.5" customWidth="1"/>
    <col min="16" max="16" width="11.8984375" customWidth="1"/>
    <col min="17" max="17" width="11.3984375" customWidth="1"/>
    <col min="18" max="26" width="11.3984375" hidden="1" customWidth="1" outlineLevel="1"/>
    <col min="27" max="27" width="11.3984375" customWidth="1" collapsed="1"/>
    <col min="28" max="28" width="14.09765625" customWidth="1"/>
    <col min="29" max="29" width="19.3984375" bestFit="1" customWidth="1"/>
    <col min="40" max="45" width="0" hidden="1" customWidth="1" outlineLevel="1"/>
    <col min="46" max="46" width="11.09765625" collapsed="1"/>
  </cols>
  <sheetData>
    <row r="1" spans="1:45" s="58" customFormat="1">
      <c r="A1" s="68" t="s">
        <v>40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45" s="58" customFormat="1">
      <c r="A2" s="68" t="s">
        <v>40</v>
      </c>
      <c r="B2" s="456">
        <f>Budget!B1</f>
        <v>0</v>
      </c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45" s="1" customFormat="1">
      <c r="A3" s="69" t="s">
        <v>39</v>
      </c>
      <c r="B3" s="61" t="str">
        <f>Budget!B2</f>
        <v>NIH</v>
      </c>
      <c r="AA3" s="63"/>
    </row>
    <row r="4" spans="1:45" s="1" customFormat="1">
      <c r="A4" s="258" t="s">
        <v>82</v>
      </c>
      <c r="B4" s="64">
        <f>CAP</f>
        <v>199300</v>
      </c>
      <c r="C4" s="62"/>
      <c r="AA4" s="63"/>
    </row>
    <row r="5" spans="1:45" s="1" customFormat="1">
      <c r="A5" s="69" t="s">
        <v>76</v>
      </c>
      <c r="B5" s="60">
        <f>Budget!B4</f>
        <v>44743</v>
      </c>
      <c r="C5" s="60"/>
      <c r="AA5" s="63"/>
    </row>
    <row r="6" spans="1:45" s="1" customFormat="1">
      <c r="A6" s="69" t="s">
        <v>77</v>
      </c>
      <c r="B6" s="60">
        <f>Budget!B5</f>
        <v>46568</v>
      </c>
      <c r="C6" s="60"/>
      <c r="AA6" s="63"/>
    </row>
    <row r="7" spans="1:45" s="1" customFormat="1">
      <c r="A7" s="70" t="s">
        <v>87</v>
      </c>
      <c r="B7" s="67">
        <f>Budget!B6</f>
        <v>0.03</v>
      </c>
      <c r="C7" s="60"/>
      <c r="AA7" s="63"/>
    </row>
    <row r="8" spans="1:45" s="1" customFormat="1" hidden="1">
      <c r="A8" s="71" t="s">
        <v>78</v>
      </c>
      <c r="B8" s="257">
        <f>ROUND((B6-B5)/365,2)</f>
        <v>5</v>
      </c>
      <c r="C8" s="575">
        <f>IF(B8&gt;0,IF(B8&lt;1,B8,1),0)</f>
        <v>1</v>
      </c>
      <c r="D8" s="575"/>
      <c r="E8" s="575"/>
      <c r="F8" s="575">
        <f>IF(B8&lt;=1,0,IF(B8&lt;2,B8-1,1))</f>
        <v>1</v>
      </c>
      <c r="G8" s="575"/>
      <c r="H8" s="575"/>
      <c r="I8" s="575">
        <f>IF(B8&lt;=2,0,IF(B8&lt;3,B8-2,1))</f>
        <v>1</v>
      </c>
      <c r="J8" s="575"/>
      <c r="K8" s="575"/>
      <c r="L8" s="575">
        <f>IF(B8&lt;=3,0,IF(B8&lt;4,B8-3,1))</f>
        <v>1</v>
      </c>
      <c r="M8" s="575"/>
      <c r="N8" s="575"/>
      <c r="O8" s="575">
        <f>IF(B8&lt;=4,0,IF(B8&lt;5,B8-4,1))</f>
        <v>1</v>
      </c>
      <c r="P8" s="575"/>
      <c r="Q8" s="575"/>
      <c r="R8" s="575">
        <f>IF(B8&lt;=5,0,IF(B8&lt;6,B8-5,1))</f>
        <v>0</v>
      </c>
      <c r="S8" s="575"/>
      <c r="T8" s="575"/>
      <c r="U8" s="575">
        <f>IF(B8&lt;=6,0,IF(B8&lt;7,B8-6,1))</f>
        <v>0</v>
      </c>
      <c r="V8" s="575"/>
      <c r="W8" s="575"/>
      <c r="X8" s="575">
        <f>IF(B8&lt;=7,0,IF(B8&lt;8,B8-7,1))</f>
        <v>0</v>
      </c>
      <c r="Y8" s="575"/>
      <c r="Z8" s="575"/>
      <c r="AA8" s="63"/>
    </row>
    <row r="9" spans="1:45" s="1" customFormat="1" hidden="1">
      <c r="A9" s="71" t="s">
        <v>180</v>
      </c>
      <c r="B9" s="257">
        <f>B8*12</f>
        <v>60</v>
      </c>
      <c r="C9" s="576">
        <f>C8*12</f>
        <v>12</v>
      </c>
      <c r="D9" s="576"/>
      <c r="E9" s="576"/>
      <c r="F9" s="576">
        <f>F8*12</f>
        <v>12</v>
      </c>
      <c r="G9" s="576"/>
      <c r="H9" s="576"/>
      <c r="I9" s="576">
        <f>I8*12</f>
        <v>12</v>
      </c>
      <c r="J9" s="576"/>
      <c r="K9" s="576"/>
      <c r="L9" s="576">
        <f>L8*12</f>
        <v>12</v>
      </c>
      <c r="M9" s="576"/>
      <c r="N9" s="576"/>
      <c r="O9" s="576">
        <f>O8*12</f>
        <v>12</v>
      </c>
      <c r="P9" s="576"/>
      <c r="Q9" s="576"/>
      <c r="R9" s="576">
        <f>R8*12</f>
        <v>0</v>
      </c>
      <c r="S9" s="576"/>
      <c r="T9" s="576"/>
      <c r="U9" s="576">
        <f>U8*12</f>
        <v>0</v>
      </c>
      <c r="V9" s="576"/>
      <c r="W9" s="576"/>
      <c r="X9" s="576">
        <f>X8*12</f>
        <v>0</v>
      </c>
      <c r="Y9" s="576"/>
      <c r="Z9" s="576"/>
      <c r="AA9" s="63"/>
    </row>
    <row r="10" spans="1:45" s="1" customFormat="1" ht="21">
      <c r="A10" s="70"/>
      <c r="B10" s="85"/>
      <c r="C10" s="574" t="s">
        <v>1</v>
      </c>
      <c r="D10" s="574"/>
      <c r="E10" s="574"/>
      <c r="F10" s="574" t="s">
        <v>2</v>
      </c>
      <c r="G10" s="574"/>
      <c r="H10" s="574"/>
      <c r="I10" s="574" t="s">
        <v>3</v>
      </c>
      <c r="J10" s="574"/>
      <c r="K10" s="574"/>
      <c r="L10" s="574" t="s">
        <v>4</v>
      </c>
      <c r="M10" s="574"/>
      <c r="N10" s="574"/>
      <c r="O10" s="574" t="s">
        <v>5</v>
      </c>
      <c r="P10" s="574"/>
      <c r="Q10" s="574"/>
      <c r="R10" s="574" t="s">
        <v>106</v>
      </c>
      <c r="S10" s="574"/>
      <c r="T10" s="574"/>
      <c r="U10" s="574" t="s">
        <v>107</v>
      </c>
      <c r="V10" s="574"/>
      <c r="W10" s="574"/>
      <c r="X10" s="574" t="s">
        <v>108</v>
      </c>
      <c r="Y10" s="574"/>
      <c r="Z10" s="574"/>
      <c r="AA10" s="6" t="s">
        <v>22</v>
      </c>
      <c r="AB10" s="65"/>
    </row>
    <row r="11" spans="1:45" s="1" customFormat="1">
      <c r="A11" s="259" t="s">
        <v>73</v>
      </c>
      <c r="B11" s="444" t="s">
        <v>84</v>
      </c>
      <c r="C11" s="444" t="s">
        <v>74</v>
      </c>
      <c r="D11" s="444" t="s">
        <v>0</v>
      </c>
      <c r="E11" s="444" t="s">
        <v>181</v>
      </c>
      <c r="F11" s="444" t="s">
        <v>74</v>
      </c>
      <c r="G11" s="444" t="s">
        <v>0</v>
      </c>
      <c r="H11" s="444" t="s">
        <v>181</v>
      </c>
      <c r="I11" s="444" t="s">
        <v>74</v>
      </c>
      <c r="J11" s="444" t="s">
        <v>0</v>
      </c>
      <c r="K11" s="444" t="s">
        <v>181</v>
      </c>
      <c r="L11" s="444" t="s">
        <v>74</v>
      </c>
      <c r="M11" s="444" t="s">
        <v>0</v>
      </c>
      <c r="N11" s="444" t="s">
        <v>181</v>
      </c>
      <c r="O11" s="444" t="s">
        <v>74</v>
      </c>
      <c r="P11" s="444" t="s">
        <v>0</v>
      </c>
      <c r="Q11" s="444" t="s">
        <v>181</v>
      </c>
      <c r="R11" s="444" t="s">
        <v>74</v>
      </c>
      <c r="S11" s="444" t="s">
        <v>0</v>
      </c>
      <c r="T11" s="444" t="s">
        <v>181</v>
      </c>
      <c r="U11" s="444" t="s">
        <v>74</v>
      </c>
      <c r="V11" s="444" t="s">
        <v>0</v>
      </c>
      <c r="W11" s="444" t="s">
        <v>181</v>
      </c>
      <c r="X11" s="444" t="s">
        <v>74</v>
      </c>
      <c r="Y11" s="444" t="s">
        <v>0</v>
      </c>
      <c r="Z11" s="444" t="s">
        <v>181</v>
      </c>
      <c r="AA11" s="86"/>
      <c r="AB11" s="63"/>
    </row>
    <row r="12" spans="1:45" s="1" customFormat="1">
      <c r="A12" s="260">
        <f>Budget!A14</f>
        <v>0</v>
      </c>
      <c r="B12" s="261">
        <f>Budget!D14</f>
        <v>0</v>
      </c>
      <c r="C12" s="262">
        <f>Budget!F14</f>
        <v>0</v>
      </c>
      <c r="D12" s="263">
        <f>$C$12*12*C8</f>
        <v>0</v>
      </c>
      <c r="E12" s="264">
        <f>IFERROR(ROUND(MIN(IF(CAP="none",1000000,CAP*D12/$C$9*C$8),B12*D12/$C$9*C$8),0)*(1+B$7)*(1+Budget!C11),"$0.00")+IF(D12&gt;0,-Budget!AG14,"$0.00")</f>
        <v>0</v>
      </c>
      <c r="F12" s="262">
        <f>Budget!I11</f>
        <v>0</v>
      </c>
      <c r="G12" s="263">
        <f>$C$12*12*F8</f>
        <v>0</v>
      </c>
      <c r="H12" s="264">
        <f>IFERROR(ROUND(MIN(IF(CAP="none",1000000,CAP*G12/$F$9*F$8),B12*G12/$F$9*F$8),0)*(1+B$7)^2*(1+Budget!C11),"$0.00")+IF(G12&gt;0,-Budget!AG14,"$0.00")</f>
        <v>0</v>
      </c>
      <c r="I12" s="262">
        <f>Budget!L11</f>
        <v>0</v>
      </c>
      <c r="J12" s="263">
        <f>$C$12*12*I8</f>
        <v>0</v>
      </c>
      <c r="K12" s="264">
        <f>IFERROR(ROUND(MIN(IF(CAP="none",1000000,CAP*J12/$I$9*I$8),B12*J12/$I$9*I$8),0)*(1+B$7)^3*(1+Budget!C11),"$0.00")+IF(J12&gt;0,-Budget!AG14,"$0.00")</f>
        <v>0</v>
      </c>
      <c r="L12" s="262">
        <f>Budget!O11</f>
        <v>0</v>
      </c>
      <c r="M12" s="263">
        <f>$C$12*12*L8</f>
        <v>0</v>
      </c>
      <c r="N12" s="264">
        <f>IFERROR(ROUND(MIN(IF(CAP="none",1000000,CAP*M12/$L$9*L$8),B12*M12/$L$9*L$8),0)*(1+B$7)^4*(1+Budget!C11),"$0.00")+IF(M12&gt;0,-Budget!AG14,"$0.00")</f>
        <v>0</v>
      </c>
      <c r="O12" s="262">
        <f>Budget!R11</f>
        <v>0</v>
      </c>
      <c r="P12" s="263">
        <f>$C$12*12*O8</f>
        <v>0</v>
      </c>
      <c r="Q12" s="264">
        <f>IFERROR(ROUND(MIN(IF(CAP="none",1000000,CAP*P12/$O$9*O$8),B12*P12/$O$9*O$8),0)*(1+B$7)^5*(1+Budget!C11),"$0.00")+IF(P12&gt;0,-Budget!AG14,"$0.00")</f>
        <v>0</v>
      </c>
      <c r="R12" s="262">
        <f>Budget!U11</f>
        <v>0</v>
      </c>
      <c r="S12" s="263">
        <f>$C$12*12*R8</f>
        <v>0</v>
      </c>
      <c r="T12" s="264">
        <f>IFERROR(ROUND(MIN(IF(CAP="none",1000000,CAP*S12/$R$9*R$8),B12*S12/$R$9*R$8),0)*(1+B$7)^6*(1+Budget!C11),"$0.00")+IF(S12&gt;0,-Budget!AG14,"$0.00")</f>
        <v>0</v>
      </c>
      <c r="U12" s="262">
        <f>Budget!X11</f>
        <v>0</v>
      </c>
      <c r="V12" s="263">
        <f>$C$12*12*U8</f>
        <v>0</v>
      </c>
      <c r="W12" s="264">
        <f>IFERROR(ROUND(MIN(IF(CAP="none",1000000,CAP*V12/$U$9*U$8),B12*V12/$U$9*U$8),0)*(1+B$7)^7*(1+Budget!C11),"$0.00")+IF(V12&gt;0,-Budget!AG14,"$0.00")</f>
        <v>0</v>
      </c>
      <c r="X12" s="262">
        <f>Budget!AA11</f>
        <v>0</v>
      </c>
      <c r="Y12" s="263">
        <f>$C$12*12*X8</f>
        <v>0</v>
      </c>
      <c r="Z12" s="264">
        <f>IFERROR(ROUND(MIN(IF(CAP="none",1000000,CAP*Y12/$X$9*X$8),B12*Y12/$X$9*X$8),0)*(1+B$7)^8*(1+Budget!C11),"$0.00")+IF(Y12&gt;0,-Budget!AG14,"$0.00")</f>
        <v>0</v>
      </c>
      <c r="AA12" s="88">
        <f>SUM(E12,H12,K12,N12,Q12,T12,W12,Z12)</f>
        <v>0</v>
      </c>
      <c r="AB12" s="63"/>
    </row>
    <row r="13" spans="1:45" s="1" customFormat="1" ht="15">
      <c r="A13" s="267"/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88"/>
    </row>
    <row r="14" spans="1:45" s="1" customFormat="1" ht="15">
      <c r="A14" s="69"/>
      <c r="B14" s="87"/>
      <c r="C14" s="268" t="s">
        <v>183</v>
      </c>
      <c r="D14" s="269" t="s">
        <v>0</v>
      </c>
      <c r="E14" s="270" t="s">
        <v>184</v>
      </c>
      <c r="F14" s="270"/>
      <c r="G14" s="269" t="s">
        <v>0</v>
      </c>
      <c r="H14" s="270" t="s">
        <v>184</v>
      </c>
      <c r="I14" s="270"/>
      <c r="J14" s="269" t="s">
        <v>0</v>
      </c>
      <c r="K14" s="270" t="s">
        <v>184</v>
      </c>
      <c r="L14" s="270"/>
      <c r="M14" s="269" t="s">
        <v>0</v>
      </c>
      <c r="N14" s="270" t="s">
        <v>184</v>
      </c>
      <c r="O14" s="270"/>
      <c r="P14" s="269" t="s">
        <v>0</v>
      </c>
      <c r="Q14" s="270" t="s">
        <v>184</v>
      </c>
      <c r="R14" s="270"/>
      <c r="S14" s="269" t="s">
        <v>0</v>
      </c>
      <c r="T14" s="270" t="s">
        <v>184</v>
      </c>
      <c r="U14" s="270"/>
      <c r="V14" s="269" t="s">
        <v>0</v>
      </c>
      <c r="W14" s="270" t="s">
        <v>184</v>
      </c>
      <c r="X14" s="270"/>
      <c r="Y14" s="269" t="s">
        <v>0</v>
      </c>
      <c r="Z14" s="270" t="s">
        <v>184</v>
      </c>
      <c r="AA14" s="88"/>
    </row>
    <row r="15" spans="1:45" s="1" customFormat="1" ht="15">
      <c r="A15" s="72" t="s">
        <v>185</v>
      </c>
      <c r="B15" s="74" t="s">
        <v>6</v>
      </c>
      <c r="C15" s="271">
        <v>0</v>
      </c>
      <c r="D15" s="271">
        <v>0</v>
      </c>
      <c r="E15" s="264">
        <f>AD16/AE16*D15*$C15</f>
        <v>0</v>
      </c>
      <c r="F15" s="264"/>
      <c r="G15" s="271">
        <v>0</v>
      </c>
      <c r="H15" s="264">
        <f>AF16/AG16*G15*$C15</f>
        <v>0</v>
      </c>
      <c r="I15" s="264"/>
      <c r="J15" s="271">
        <v>0</v>
      </c>
      <c r="K15" s="264">
        <f>AH16/AI16*J15*$C15</f>
        <v>0</v>
      </c>
      <c r="L15" s="264"/>
      <c r="M15" s="271">
        <v>0</v>
      </c>
      <c r="N15" s="264">
        <f>AJ16/AK16*M15*$C15</f>
        <v>0</v>
      </c>
      <c r="O15" s="264"/>
      <c r="P15" s="271">
        <v>0</v>
      </c>
      <c r="Q15" s="264">
        <f>AL16/AM16*P15*$C15</f>
        <v>0</v>
      </c>
      <c r="R15" s="264"/>
      <c r="S15" s="280">
        <v>0</v>
      </c>
      <c r="T15" s="261">
        <f>AN16/AO16*S15*$C15</f>
        <v>0</v>
      </c>
      <c r="U15" s="264"/>
      <c r="V15" s="280">
        <v>0</v>
      </c>
      <c r="W15" s="261">
        <f>AP16/AQ16*V15*$C15</f>
        <v>0</v>
      </c>
      <c r="X15" s="264"/>
      <c r="Y15" s="280">
        <v>0</v>
      </c>
      <c r="Z15" s="261">
        <f>AR16/AS16*Y15*$C15</f>
        <v>0</v>
      </c>
      <c r="AA15" s="88">
        <f>E15+H15+K15+N15+Q15+T15+W15+Z15</f>
        <v>0</v>
      </c>
      <c r="AC15" s="2" t="s">
        <v>192</v>
      </c>
      <c r="AD15" s="514" t="s">
        <v>1</v>
      </c>
      <c r="AE15" s="514"/>
      <c r="AF15" s="514" t="s">
        <v>2</v>
      </c>
      <c r="AG15" s="514"/>
      <c r="AH15" s="514" t="s">
        <v>3</v>
      </c>
      <c r="AI15" s="514"/>
      <c r="AJ15" s="514" t="s">
        <v>4</v>
      </c>
      <c r="AK15" s="514"/>
      <c r="AL15" s="514" t="s">
        <v>5</v>
      </c>
      <c r="AM15" s="514"/>
      <c r="AN15" s="514" t="s">
        <v>106</v>
      </c>
      <c r="AO15" s="514"/>
      <c r="AP15" s="514" t="s">
        <v>107</v>
      </c>
      <c r="AQ15" s="514"/>
      <c r="AR15" s="514" t="s">
        <v>108</v>
      </c>
      <c r="AS15" s="514"/>
    </row>
    <row r="16" spans="1:45" s="1" customFormat="1" ht="15">
      <c r="A16" s="72"/>
      <c r="B16" s="74" t="s">
        <v>7</v>
      </c>
      <c r="C16" s="271">
        <v>0</v>
      </c>
      <c r="D16" s="271">
        <v>0</v>
      </c>
      <c r="E16" s="264">
        <f>AD17/AE17*D16*$C16</f>
        <v>0</v>
      </c>
      <c r="F16" s="264"/>
      <c r="G16" s="271">
        <v>0</v>
      </c>
      <c r="H16" s="264">
        <f>AF17/AG17*G16*$C16</f>
        <v>0</v>
      </c>
      <c r="I16" s="264"/>
      <c r="J16" s="271">
        <v>0</v>
      </c>
      <c r="K16" s="264">
        <f>AH17/AI17*J16*$C16</f>
        <v>0</v>
      </c>
      <c r="L16" s="264"/>
      <c r="M16" s="271">
        <v>0</v>
      </c>
      <c r="N16" s="264">
        <f>AJ17/AK17*M16*$C16</f>
        <v>0</v>
      </c>
      <c r="O16" s="264"/>
      <c r="P16" s="271">
        <v>0</v>
      </c>
      <c r="Q16" s="264">
        <f>AL17/AM17*P16*$C16</f>
        <v>0</v>
      </c>
      <c r="R16" s="264"/>
      <c r="S16" s="280">
        <v>0</v>
      </c>
      <c r="T16" s="261">
        <f>AN17/AO17*S16*$C16</f>
        <v>0</v>
      </c>
      <c r="U16" s="264"/>
      <c r="V16" s="280">
        <v>0</v>
      </c>
      <c r="W16" s="261">
        <f>AP17/AQ17*V16*$C16</f>
        <v>0</v>
      </c>
      <c r="X16" s="264"/>
      <c r="Y16" s="280">
        <v>0</v>
      </c>
      <c r="Z16" s="261">
        <f>AR17/AS17*Y16*$C16</f>
        <v>0</v>
      </c>
      <c r="AA16" s="88">
        <f t="shared" ref="AA16:AA21" si="0">E16+H16+K16+N16+Q16+T16+W16+Z16</f>
        <v>0</v>
      </c>
      <c r="AC16" s="2" t="s">
        <v>6</v>
      </c>
      <c r="AD16" s="265">
        <v>27000</v>
      </c>
      <c r="AE16" s="266">
        <v>12</v>
      </c>
      <c r="AF16" s="265">
        <f>AD16*1.03</f>
        <v>27810</v>
      </c>
      <c r="AG16" s="266">
        <v>12</v>
      </c>
      <c r="AH16" s="265">
        <f>AF16*1.03</f>
        <v>28644.3</v>
      </c>
      <c r="AI16" s="266">
        <v>12</v>
      </c>
      <c r="AJ16" s="265">
        <f>AH16*1.03</f>
        <v>29503.629000000001</v>
      </c>
      <c r="AK16" s="266">
        <v>12</v>
      </c>
      <c r="AL16" s="265">
        <f>AJ16*1.03</f>
        <v>30388.737870000001</v>
      </c>
      <c r="AM16" s="266">
        <v>12</v>
      </c>
      <c r="AN16" s="265">
        <f>AL16*1.03</f>
        <v>31300.400006100001</v>
      </c>
      <c r="AO16" s="266">
        <v>12</v>
      </c>
      <c r="AP16" s="265">
        <f>AN16*1.03</f>
        <v>32239.412006283001</v>
      </c>
      <c r="AQ16" s="266">
        <v>12</v>
      </c>
      <c r="AR16" s="265">
        <f>AP16*1.03</f>
        <v>33206.594366471494</v>
      </c>
      <c r="AS16" s="266">
        <v>12</v>
      </c>
    </row>
    <row r="17" spans="1:45" s="1" customFormat="1" ht="15">
      <c r="A17" s="72"/>
      <c r="B17" s="76" t="s">
        <v>182</v>
      </c>
      <c r="C17" s="271">
        <v>0</v>
      </c>
      <c r="D17" s="271">
        <v>0</v>
      </c>
      <c r="E17" s="264">
        <f>AD18/AE18*D17*$C17</f>
        <v>0</v>
      </c>
      <c r="F17" s="264"/>
      <c r="G17" s="271">
        <v>0</v>
      </c>
      <c r="H17" s="264">
        <f>AF18/AG18*G17*$C17</f>
        <v>0</v>
      </c>
      <c r="I17" s="264"/>
      <c r="J17" s="271">
        <v>0</v>
      </c>
      <c r="K17" s="264">
        <f>AH18/AI18*J17*$C17</f>
        <v>0</v>
      </c>
      <c r="L17" s="264"/>
      <c r="M17" s="271">
        <v>0</v>
      </c>
      <c r="N17" s="264">
        <f>AJ18/AK18*M17*$C17</f>
        <v>0</v>
      </c>
      <c r="O17" s="264"/>
      <c r="P17" s="271">
        <v>0</v>
      </c>
      <c r="Q17" s="264">
        <f>AL18/AM18*P17*$C17</f>
        <v>0</v>
      </c>
      <c r="R17" s="264"/>
      <c r="S17" s="280">
        <v>0</v>
      </c>
      <c r="T17" s="261">
        <f>AN18/AO18*S17*$C17</f>
        <v>0</v>
      </c>
      <c r="U17" s="264"/>
      <c r="V17" s="280">
        <v>0</v>
      </c>
      <c r="W17" s="261">
        <f>AP18/AQ18*V17*$C17</f>
        <v>0</v>
      </c>
      <c r="X17" s="264"/>
      <c r="Y17" s="280">
        <v>0</v>
      </c>
      <c r="Z17" s="261">
        <f>AR18/AS18*Y17*$C17</f>
        <v>0</v>
      </c>
      <c r="AA17" s="88">
        <f t="shared" si="0"/>
        <v>0</v>
      </c>
      <c r="AC17" s="2" t="s">
        <v>7</v>
      </c>
      <c r="AD17" s="265">
        <v>50000</v>
      </c>
      <c r="AE17" s="2">
        <v>12</v>
      </c>
      <c r="AF17" s="265">
        <f>AD17*1.03</f>
        <v>51500</v>
      </c>
      <c r="AG17" s="2">
        <v>12</v>
      </c>
      <c r="AH17" s="265">
        <f>AF17*1.03</f>
        <v>53045</v>
      </c>
      <c r="AI17" s="2">
        <v>12</v>
      </c>
      <c r="AJ17" s="265">
        <f>AH17*1.03</f>
        <v>54636.35</v>
      </c>
      <c r="AK17" s="2">
        <v>12</v>
      </c>
      <c r="AL17" s="265">
        <f>AJ17*1.03</f>
        <v>56275.440499999997</v>
      </c>
      <c r="AM17" s="266">
        <v>12</v>
      </c>
      <c r="AN17" s="265">
        <f>AL17*1.03</f>
        <v>57963.703714999996</v>
      </c>
      <c r="AO17" s="266">
        <v>12</v>
      </c>
      <c r="AP17" s="265">
        <f>AN17*1.03</f>
        <v>59702.614826450001</v>
      </c>
      <c r="AQ17" s="266">
        <v>12</v>
      </c>
      <c r="AR17" s="265">
        <f>AP17*1.03</f>
        <v>61493.693271243501</v>
      </c>
      <c r="AS17" s="266">
        <v>12</v>
      </c>
    </row>
    <row r="18" spans="1:45" s="1" customFormat="1" ht="15">
      <c r="A18" s="72"/>
      <c r="B18" s="74" t="s">
        <v>9</v>
      </c>
      <c r="C18" s="271">
        <v>0</v>
      </c>
      <c r="D18" s="271">
        <v>0</v>
      </c>
      <c r="E18" s="264">
        <f>AD19/AE19*D18*$C18</f>
        <v>0</v>
      </c>
      <c r="F18" s="264"/>
      <c r="G18" s="271">
        <v>0</v>
      </c>
      <c r="H18" s="264">
        <f>AF19/AG19*G18*$C18</f>
        <v>0</v>
      </c>
      <c r="I18" s="264"/>
      <c r="J18" s="271">
        <v>0</v>
      </c>
      <c r="K18" s="264">
        <f>AH19/AI19*J18*$C18</f>
        <v>0</v>
      </c>
      <c r="L18" s="264"/>
      <c r="M18" s="271">
        <v>0</v>
      </c>
      <c r="N18" s="264">
        <f>AJ19/AK19*M18*$C18</f>
        <v>0</v>
      </c>
      <c r="O18" s="264"/>
      <c r="P18" s="271">
        <v>0</v>
      </c>
      <c r="Q18" s="264">
        <f>AL19/AM19*P18*$C18</f>
        <v>0</v>
      </c>
      <c r="R18" s="264"/>
      <c r="S18" s="280">
        <v>0</v>
      </c>
      <c r="T18" s="261">
        <f>AN19/AO19*S18*$C18</f>
        <v>0</v>
      </c>
      <c r="U18" s="264"/>
      <c r="V18" s="280">
        <v>0</v>
      </c>
      <c r="W18" s="261">
        <f>AP19/AQ19*V18*$C18</f>
        <v>0</v>
      </c>
      <c r="X18" s="264"/>
      <c r="Y18" s="280">
        <v>0</v>
      </c>
      <c r="Z18" s="261">
        <f>AR19/AS19*Y18*$C18</f>
        <v>0</v>
      </c>
      <c r="AA18" s="88">
        <f t="shared" si="0"/>
        <v>0</v>
      </c>
      <c r="AC18" s="2" t="s">
        <v>8</v>
      </c>
      <c r="AD18" s="265">
        <v>8000</v>
      </c>
      <c r="AE18" s="2">
        <v>12</v>
      </c>
      <c r="AF18" s="265">
        <f>AD18*1.03</f>
        <v>8240</v>
      </c>
      <c r="AG18" s="266">
        <v>12</v>
      </c>
      <c r="AH18" s="265">
        <f>AF18*1.03</f>
        <v>8487.2000000000007</v>
      </c>
      <c r="AI18" s="266">
        <v>12</v>
      </c>
      <c r="AJ18" s="265">
        <f>AH18*1.03</f>
        <v>8741.8160000000007</v>
      </c>
      <c r="AK18" s="266">
        <v>12</v>
      </c>
      <c r="AL18" s="265">
        <f>AJ18*1.03</f>
        <v>9004.0704800000003</v>
      </c>
      <c r="AM18" s="266">
        <v>12</v>
      </c>
      <c r="AN18" s="265">
        <f>AL18*1.03</f>
        <v>9274.1925944000013</v>
      </c>
      <c r="AO18" s="266">
        <v>12</v>
      </c>
      <c r="AP18" s="265">
        <f>AN18*1.03</f>
        <v>9552.4183722320013</v>
      </c>
      <c r="AQ18" s="266">
        <v>12</v>
      </c>
      <c r="AR18" s="265">
        <f>AP18*1.03</f>
        <v>9838.990923398962</v>
      </c>
      <c r="AS18" s="266">
        <v>12</v>
      </c>
    </row>
    <row r="19" spans="1:45" s="1" customFormat="1" ht="15">
      <c r="A19" s="72"/>
      <c r="B19" s="74" t="s">
        <v>10</v>
      </c>
      <c r="C19" s="272">
        <v>0</v>
      </c>
      <c r="D19" s="272">
        <v>0</v>
      </c>
      <c r="E19" s="89">
        <f>AD20/AE20*D19*$C19</f>
        <v>0</v>
      </c>
      <c r="F19" s="89"/>
      <c r="G19" s="272">
        <v>0</v>
      </c>
      <c r="H19" s="89">
        <f>AF20/AG20*G19*$C19</f>
        <v>0</v>
      </c>
      <c r="I19" s="89"/>
      <c r="J19" s="272">
        <v>0</v>
      </c>
      <c r="K19" s="89">
        <f>AH20/AI20*J19*$C19</f>
        <v>0</v>
      </c>
      <c r="L19" s="89"/>
      <c r="M19" s="272">
        <v>0</v>
      </c>
      <c r="N19" s="89">
        <f>AJ20/AK20*M19*$C19</f>
        <v>0</v>
      </c>
      <c r="O19" s="89"/>
      <c r="P19" s="272">
        <v>0</v>
      </c>
      <c r="Q19" s="89">
        <f>AL20/AM20*P19*$C19</f>
        <v>0</v>
      </c>
      <c r="R19" s="89"/>
      <c r="S19" s="281">
        <v>0</v>
      </c>
      <c r="T19" s="282">
        <f>AN20/AO20*S19*$C19</f>
        <v>0</v>
      </c>
      <c r="U19" s="89"/>
      <c r="V19" s="281">
        <v>0</v>
      </c>
      <c r="W19" s="282">
        <f>AP20/AQ20*V19*$C19</f>
        <v>0</v>
      </c>
      <c r="X19" s="89"/>
      <c r="Y19" s="281">
        <v>0</v>
      </c>
      <c r="Z19" s="282">
        <f>AR20/AS20*Y19*$C19</f>
        <v>0</v>
      </c>
      <c r="AA19" s="88">
        <f t="shared" si="0"/>
        <v>0</v>
      </c>
      <c r="AC19" s="2" t="s">
        <v>9</v>
      </c>
      <c r="AD19" s="265">
        <v>10000</v>
      </c>
      <c r="AE19" s="2">
        <v>12</v>
      </c>
      <c r="AF19" s="265">
        <f>AD19*1.03</f>
        <v>10300</v>
      </c>
      <c r="AG19" s="2">
        <v>12</v>
      </c>
      <c r="AH19" s="265">
        <f>AF19*1.03</f>
        <v>10609</v>
      </c>
      <c r="AI19" s="2">
        <v>12</v>
      </c>
      <c r="AJ19" s="265">
        <f>AH19*1.03</f>
        <v>10927.27</v>
      </c>
      <c r="AK19" s="2">
        <v>12</v>
      </c>
      <c r="AL19" s="265">
        <f>AJ19*1.03</f>
        <v>11255.088100000001</v>
      </c>
      <c r="AM19" s="266">
        <v>12</v>
      </c>
      <c r="AN19" s="265">
        <f>AL19*1.03</f>
        <v>11592.740743</v>
      </c>
      <c r="AO19" s="266">
        <v>12</v>
      </c>
      <c r="AP19" s="265">
        <f>AN19*1.03</f>
        <v>11940.52296529</v>
      </c>
      <c r="AQ19" s="266">
        <v>12</v>
      </c>
      <c r="AR19" s="265">
        <f>AP19*1.03</f>
        <v>12298.7386542487</v>
      </c>
      <c r="AS19" s="266">
        <v>12</v>
      </c>
    </row>
    <row r="20" spans="1:45" s="1" customFormat="1" ht="15">
      <c r="A20" s="72"/>
      <c r="B20" s="273"/>
      <c r="C20" s="283"/>
      <c r="D20" s="274"/>
      <c r="E20" s="90"/>
      <c r="F20" s="90"/>
      <c r="G20" s="274"/>
      <c r="H20" s="90"/>
      <c r="I20" s="90"/>
      <c r="J20" s="274" t="s">
        <v>186</v>
      </c>
      <c r="K20" s="90"/>
      <c r="L20" s="90"/>
      <c r="M20" s="274"/>
      <c r="N20" s="90"/>
      <c r="O20" s="90"/>
      <c r="P20" s="274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88"/>
      <c r="AC20" s="2" t="s">
        <v>10</v>
      </c>
      <c r="AD20" s="265">
        <v>10000</v>
      </c>
      <c r="AE20" s="2">
        <v>12</v>
      </c>
      <c r="AF20" s="265">
        <f>AD20*1.03</f>
        <v>10300</v>
      </c>
      <c r="AG20" s="266">
        <v>12</v>
      </c>
      <c r="AH20" s="265">
        <f>AF20*1.03</f>
        <v>10609</v>
      </c>
      <c r="AI20" s="266">
        <v>12</v>
      </c>
      <c r="AJ20" s="265">
        <f>AH20*1.03</f>
        <v>10927.27</v>
      </c>
      <c r="AK20" s="266">
        <v>12</v>
      </c>
      <c r="AL20" s="265">
        <f>AJ20*1.03</f>
        <v>11255.088100000001</v>
      </c>
      <c r="AM20" s="266">
        <v>12</v>
      </c>
      <c r="AN20" s="265">
        <f>AL20*1.03</f>
        <v>11592.740743</v>
      </c>
      <c r="AO20" s="266">
        <v>12</v>
      </c>
      <c r="AP20" s="265">
        <f>AN20*1.03</f>
        <v>11940.52296529</v>
      </c>
      <c r="AQ20" s="266">
        <v>12</v>
      </c>
      <c r="AR20" s="265">
        <f>AP20*1.03</f>
        <v>12298.7386542487</v>
      </c>
      <c r="AS20" s="266">
        <v>12</v>
      </c>
    </row>
    <row r="21" spans="1:45" s="1" customFormat="1" ht="15">
      <c r="A21" s="72"/>
      <c r="B21" s="74"/>
      <c r="C21" s="275" t="s">
        <v>187</v>
      </c>
      <c r="D21" s="69"/>
      <c r="E21" s="91">
        <f>SUM(E15:E19)</f>
        <v>0</v>
      </c>
      <c r="F21" s="91"/>
      <c r="G21" s="69"/>
      <c r="H21" s="91">
        <f>SUM(H15:H19)</f>
        <v>0</v>
      </c>
      <c r="I21" s="91"/>
      <c r="J21" s="69"/>
      <c r="K21" s="91">
        <f>SUM(K15:K19)</f>
        <v>0</v>
      </c>
      <c r="L21" s="91"/>
      <c r="M21" s="69"/>
      <c r="N21" s="91">
        <f>SUM(N15:N19)</f>
        <v>0</v>
      </c>
      <c r="O21" s="91"/>
      <c r="P21" s="69"/>
      <c r="Q21" s="91">
        <f>SUM(Q15:Q19)</f>
        <v>0</v>
      </c>
      <c r="R21" s="91"/>
      <c r="S21" s="91"/>
      <c r="T21" s="91">
        <f t="shared" ref="T21:Z21" si="1">SUM(T15:T19)</f>
        <v>0</v>
      </c>
      <c r="U21" s="91"/>
      <c r="V21" s="91"/>
      <c r="W21" s="91">
        <f t="shared" si="1"/>
        <v>0</v>
      </c>
      <c r="X21" s="91"/>
      <c r="Y21" s="91"/>
      <c r="Z21" s="91">
        <f t="shared" si="1"/>
        <v>0</v>
      </c>
      <c r="AA21" s="88">
        <f t="shared" si="0"/>
        <v>0</v>
      </c>
    </row>
    <row r="22" spans="1:45" s="1" customFormat="1" ht="15">
      <c r="A22" s="72"/>
      <c r="B22" s="74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8"/>
    </row>
    <row r="23" spans="1:45" s="1" customFormat="1" ht="15">
      <c r="A23" s="72"/>
      <c r="B23" s="74"/>
      <c r="C23" s="275" t="s">
        <v>188</v>
      </c>
      <c r="D23" s="69"/>
      <c r="E23" s="91">
        <f>E12+E21</f>
        <v>0</v>
      </c>
      <c r="F23" s="91"/>
      <c r="G23" s="91"/>
      <c r="H23" s="91">
        <f>H12+H21</f>
        <v>0</v>
      </c>
      <c r="I23" s="91"/>
      <c r="J23" s="91"/>
      <c r="K23" s="91">
        <f>K12+K21</f>
        <v>0</v>
      </c>
      <c r="L23" s="91"/>
      <c r="M23" s="91"/>
      <c r="N23" s="91">
        <f>N12+N21</f>
        <v>0</v>
      </c>
      <c r="O23" s="91"/>
      <c r="P23" s="91"/>
      <c r="Q23" s="91">
        <f>Q12+Q21</f>
        <v>0</v>
      </c>
      <c r="R23" s="91"/>
      <c r="S23" s="91"/>
      <c r="T23" s="91">
        <f>T12+T21</f>
        <v>0</v>
      </c>
      <c r="U23" s="91"/>
      <c r="V23" s="91"/>
      <c r="W23" s="91">
        <f>W12+W21</f>
        <v>0</v>
      </c>
      <c r="X23" s="91"/>
      <c r="Y23" s="91"/>
      <c r="Z23" s="91">
        <f>Z12+Z21</f>
        <v>0</v>
      </c>
      <c r="AA23" s="88">
        <f>E23+H23+K23+N23+Q23+T23+W23+Z23</f>
        <v>0</v>
      </c>
    </row>
    <row r="24" spans="1:45" s="1" customFormat="1" ht="15">
      <c r="A24" s="72"/>
      <c r="B24" s="74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8"/>
    </row>
    <row r="25" spans="1:45" s="1" customFormat="1" ht="15">
      <c r="A25" s="72"/>
      <c r="B25" s="74"/>
      <c r="C25" s="268" t="s">
        <v>12</v>
      </c>
      <c r="D25" s="87"/>
      <c r="E25" s="258" t="s">
        <v>189</v>
      </c>
      <c r="F25" s="258"/>
      <c r="G25" s="87"/>
      <c r="H25" s="258" t="s">
        <v>189</v>
      </c>
      <c r="I25" s="258"/>
      <c r="J25" s="87"/>
      <c r="K25" s="258" t="s">
        <v>189</v>
      </c>
      <c r="L25" s="258"/>
      <c r="M25" s="87"/>
      <c r="N25" s="258" t="s">
        <v>189</v>
      </c>
      <c r="O25" s="258"/>
      <c r="P25" s="87"/>
      <c r="Q25" s="258" t="s">
        <v>189</v>
      </c>
      <c r="R25" s="258"/>
      <c r="S25" s="258"/>
      <c r="T25" s="258" t="s">
        <v>189</v>
      </c>
      <c r="U25" s="258"/>
      <c r="V25" s="258"/>
      <c r="W25" s="258" t="s">
        <v>189</v>
      </c>
      <c r="X25" s="258"/>
      <c r="Y25" s="258"/>
      <c r="Z25" s="258" t="s">
        <v>189</v>
      </c>
      <c r="AA25" s="276"/>
    </row>
    <row r="26" spans="1:45" s="1" customFormat="1" ht="15">
      <c r="A26" s="277" t="s">
        <v>205</v>
      </c>
      <c r="B26" s="74" t="s">
        <v>11</v>
      </c>
      <c r="C26" s="278">
        <f>'Effort and OPS Salary'!C28</f>
        <v>0</v>
      </c>
      <c r="D26" s="87"/>
      <c r="E26" s="96" t="str">
        <f>IFERROR(ROUND(MIN(IF(CAP="none",1000000,CAP*D12/$C$9*C$8),B12*D12/$C$9*C$8),0)*(1+B$7)*Budget!C11,"$0")</f>
        <v>$0</v>
      </c>
      <c r="F26" s="96"/>
      <c r="G26" s="96"/>
      <c r="H26" s="96" t="str">
        <f>IFERROR(ROUND(MIN(IF(CAP="none",1000000,CAP*G12/$F$9*F$8),B12*G12/$F$9*F$8),0)*(1+B$7)^2*Budget!C11,"$0")</f>
        <v>$0</v>
      </c>
      <c r="I26" s="96"/>
      <c r="J26" s="96"/>
      <c r="K26" s="96" t="str">
        <f>IFERROR(ROUND(MIN(IF(CAP="none",1000000,CAP*J12/$I$9*I$8),B12*J12/$I$9*I$8),0)*(1+B$7)^3*Budget!C11,"$0")</f>
        <v>$0</v>
      </c>
      <c r="L26" s="96"/>
      <c r="M26" s="96"/>
      <c r="N26" s="452" t="str">
        <f>IFERROR(ROUND(MIN(IF(CAP="none",1000000,CAP*M12/$L$9*L$8),B12*M12/$L$9*L$8),0)*(1+B$7)^4*Budget!C11,"$0")</f>
        <v>$0</v>
      </c>
      <c r="O26" s="96"/>
      <c r="P26" s="96"/>
      <c r="Q26" s="96" t="str">
        <f>IFERROR(ROUND(MIN(IF(CAP="none",1000000,CAP*P12/$O$9*O$8),B12*P12/$O$9*O$8),0)*(1+B$7)^5*Budget!C11,"$0")</f>
        <v>$0</v>
      </c>
      <c r="R26" s="96"/>
      <c r="S26" s="96"/>
      <c r="T26" s="96" t="str">
        <f>IFERROR(ROUND(MIN(IF(CAP="none",1000000,CAP*S12/$R$9*R$8),B12*S12/$R$9*R$8),0)*(1+B$7)^6*Budget!C11,"$0")</f>
        <v>$0</v>
      </c>
      <c r="U26" s="96"/>
      <c r="V26" s="96"/>
      <c r="W26" s="96" t="str">
        <f>IFERROR(ROUND(MIN(IF(CAP="none",1000000,CAP*V12/$U$9*U$8),B12*V12/$U$9*U$8),0)*(1+B$7)^7*Budget!C11,"$0")</f>
        <v>$0</v>
      </c>
      <c r="X26" s="96"/>
      <c r="Y26" s="96"/>
      <c r="Z26" s="96" t="str">
        <f>IFERROR(ROUND(MIN(IF(CAP="none",1000000,CAP*Y12/$X$9*X$8),B12*Y12/$X$9*X$8),0)*(1+B$7)^8*Budget!C11,"$0")</f>
        <v>$0</v>
      </c>
      <c r="AA26" s="88">
        <f>E26+H26+K26+N26+Q26+T26+W26+Z26</f>
        <v>0</v>
      </c>
    </row>
    <row r="27" spans="1:45" s="1" customFormat="1" ht="15">
      <c r="A27" s="72"/>
      <c r="B27" s="74" t="s">
        <v>6</v>
      </c>
      <c r="C27" s="278">
        <f>'Effort and OPS Salary'!C34</f>
        <v>0</v>
      </c>
      <c r="D27" s="87"/>
      <c r="E27" s="96">
        <f>E15*$C27</f>
        <v>0</v>
      </c>
      <c r="F27" s="96"/>
      <c r="G27" s="96"/>
      <c r="H27" s="96">
        <f>H15*$C27</f>
        <v>0</v>
      </c>
      <c r="I27" s="96"/>
      <c r="J27" s="96"/>
      <c r="K27" s="96">
        <f>K15*$C27</f>
        <v>0</v>
      </c>
      <c r="L27" s="96"/>
      <c r="M27" s="96"/>
      <c r="N27" s="96">
        <f>N15*$C27</f>
        <v>0</v>
      </c>
      <c r="O27" s="96"/>
      <c r="P27" s="96"/>
      <c r="Q27" s="96">
        <f>Q15*$C27</f>
        <v>0</v>
      </c>
      <c r="R27" s="264"/>
      <c r="S27" s="264"/>
      <c r="T27" s="264">
        <f>T15*$C27</f>
        <v>0</v>
      </c>
      <c r="U27" s="264"/>
      <c r="V27" s="264"/>
      <c r="W27" s="264">
        <f>W15*$C27</f>
        <v>0</v>
      </c>
      <c r="X27" s="264"/>
      <c r="Y27" s="264"/>
      <c r="Z27" s="264">
        <f>Z15*$C27</f>
        <v>0</v>
      </c>
      <c r="AA27" s="88">
        <f t="shared" ref="AA27:AA32" si="2">E27+H27+K27+N27+Q27+T27+W27+Z27</f>
        <v>0</v>
      </c>
    </row>
    <row r="28" spans="1:45" s="1" customFormat="1" ht="15">
      <c r="A28" s="72"/>
      <c r="B28" s="74" t="s">
        <v>7</v>
      </c>
      <c r="C28" s="278">
        <f>'Effort and OPS Salary'!C33</f>
        <v>0</v>
      </c>
      <c r="D28" s="87"/>
      <c r="E28" s="96">
        <f>E16*$C28</f>
        <v>0</v>
      </c>
      <c r="F28" s="96"/>
      <c r="G28" s="96"/>
      <c r="H28" s="96">
        <f>H16*$C28</f>
        <v>0</v>
      </c>
      <c r="I28" s="96"/>
      <c r="J28" s="96"/>
      <c r="K28" s="96">
        <f>K16*$C28</f>
        <v>0</v>
      </c>
      <c r="L28" s="96"/>
      <c r="M28" s="96"/>
      <c r="N28" s="96">
        <f>N16*$C28</f>
        <v>0</v>
      </c>
      <c r="O28" s="96"/>
      <c r="P28" s="96"/>
      <c r="Q28" s="96">
        <f>Q16*$C28</f>
        <v>0</v>
      </c>
      <c r="R28" s="264"/>
      <c r="S28" s="264"/>
      <c r="T28" s="264">
        <f>T16*$C28</f>
        <v>0</v>
      </c>
      <c r="U28" s="264"/>
      <c r="V28" s="264"/>
      <c r="W28" s="264">
        <f>W16*$C28</f>
        <v>0</v>
      </c>
      <c r="X28" s="264"/>
      <c r="Y28" s="264"/>
      <c r="Z28" s="264">
        <f>Z16*$C28</f>
        <v>0</v>
      </c>
      <c r="AA28" s="88">
        <f t="shared" si="2"/>
        <v>0</v>
      </c>
    </row>
    <row r="29" spans="1:45" s="1" customFormat="1" ht="15">
      <c r="A29" s="72"/>
      <c r="B29" s="74" t="s">
        <v>182</v>
      </c>
      <c r="C29" s="278">
        <f>'Effort and OPS Salary'!C36</f>
        <v>0</v>
      </c>
      <c r="D29" s="87"/>
      <c r="E29" s="96">
        <f>E17*$C29</f>
        <v>0</v>
      </c>
      <c r="F29" s="96"/>
      <c r="G29" s="96"/>
      <c r="H29" s="96">
        <f>H17*$C29</f>
        <v>0</v>
      </c>
      <c r="I29" s="96"/>
      <c r="J29" s="96"/>
      <c r="K29" s="96">
        <f>K17*$C29</f>
        <v>0</v>
      </c>
      <c r="L29" s="96"/>
      <c r="M29" s="96"/>
      <c r="N29" s="96">
        <f>N17*$C29</f>
        <v>0</v>
      </c>
      <c r="O29" s="96"/>
      <c r="P29" s="96"/>
      <c r="Q29" s="96">
        <f>Q17*$C29</f>
        <v>0</v>
      </c>
      <c r="R29" s="264"/>
      <c r="S29" s="264"/>
      <c r="T29" s="264">
        <f>T17*$C29</f>
        <v>0</v>
      </c>
      <c r="U29" s="264"/>
      <c r="V29" s="264"/>
      <c r="W29" s="264">
        <f>W17*$C29</f>
        <v>0</v>
      </c>
      <c r="X29" s="264"/>
      <c r="Y29" s="264"/>
      <c r="Z29" s="264">
        <f>Z17*$C29</f>
        <v>0</v>
      </c>
      <c r="AA29" s="88">
        <f t="shared" si="2"/>
        <v>0</v>
      </c>
    </row>
    <row r="30" spans="1:45" s="1" customFormat="1" ht="15">
      <c r="A30" s="72"/>
      <c r="B30" s="74" t="s">
        <v>9</v>
      </c>
      <c r="C30" s="278">
        <f>'Effort and OPS Salary'!C30</f>
        <v>0</v>
      </c>
      <c r="D30" s="87"/>
      <c r="E30" s="96">
        <f>E18*$C30</f>
        <v>0</v>
      </c>
      <c r="F30" s="96"/>
      <c r="G30" s="96"/>
      <c r="H30" s="96">
        <f>H18*$C30</f>
        <v>0</v>
      </c>
      <c r="I30" s="96"/>
      <c r="J30" s="96"/>
      <c r="K30" s="96">
        <f>K18*$C30</f>
        <v>0</v>
      </c>
      <c r="L30" s="96"/>
      <c r="M30" s="96"/>
      <c r="N30" s="96">
        <f>N18*$C30</f>
        <v>0</v>
      </c>
      <c r="O30" s="96"/>
      <c r="P30" s="96"/>
      <c r="Q30" s="96">
        <f>Q18*$C30</f>
        <v>0</v>
      </c>
      <c r="R30" s="264"/>
      <c r="S30" s="264"/>
      <c r="T30" s="264">
        <f>T18*$C30</f>
        <v>0</v>
      </c>
      <c r="U30" s="264"/>
      <c r="V30" s="264"/>
      <c r="W30" s="264">
        <f>W18*$C30</f>
        <v>0</v>
      </c>
      <c r="X30" s="264"/>
      <c r="Y30" s="264"/>
      <c r="Z30" s="264">
        <f>Z18*$C30</f>
        <v>0</v>
      </c>
      <c r="AA30" s="88">
        <f t="shared" si="2"/>
        <v>0</v>
      </c>
    </row>
    <row r="31" spans="1:45" s="1" customFormat="1" ht="15">
      <c r="A31" s="72"/>
      <c r="B31" s="74" t="s">
        <v>10</v>
      </c>
      <c r="C31" s="278">
        <f>'Effort and OPS Salary'!C31</f>
        <v>0</v>
      </c>
      <c r="D31" s="87"/>
      <c r="E31" s="97">
        <f>E19*$C31</f>
        <v>0</v>
      </c>
      <c r="F31" s="97"/>
      <c r="G31" s="97"/>
      <c r="H31" s="97">
        <f>H19*$C31</f>
        <v>0</v>
      </c>
      <c r="I31" s="97"/>
      <c r="J31" s="97"/>
      <c r="K31" s="97">
        <f>K19*$C31</f>
        <v>0</v>
      </c>
      <c r="L31" s="97"/>
      <c r="M31" s="97"/>
      <c r="N31" s="97">
        <f>N19*$C31</f>
        <v>0</v>
      </c>
      <c r="O31" s="97"/>
      <c r="P31" s="97"/>
      <c r="Q31" s="97">
        <f>Q19*$C31</f>
        <v>0</v>
      </c>
      <c r="R31" s="89"/>
      <c r="S31" s="89"/>
      <c r="T31" s="89">
        <f>T19*$C31</f>
        <v>0</v>
      </c>
      <c r="U31" s="89"/>
      <c r="V31" s="89"/>
      <c r="W31" s="89">
        <f>W19*$C31</f>
        <v>0</v>
      </c>
      <c r="X31" s="89"/>
      <c r="Y31" s="89"/>
      <c r="Z31" s="89">
        <f>Z19*$C31</f>
        <v>0</v>
      </c>
      <c r="AA31" s="88">
        <f t="shared" si="2"/>
        <v>0</v>
      </c>
    </row>
    <row r="32" spans="1:45" s="1" customFormat="1" ht="15">
      <c r="A32" s="72"/>
      <c r="B32" s="74"/>
      <c r="C32" s="275" t="s">
        <v>190</v>
      </c>
      <c r="D32" s="87"/>
      <c r="E32" s="91">
        <f>SUM(E26:E31)</f>
        <v>0</v>
      </c>
      <c r="F32" s="91"/>
      <c r="G32" s="69"/>
      <c r="H32" s="91">
        <f>SUM(H26:H31)</f>
        <v>0</v>
      </c>
      <c r="I32" s="91"/>
      <c r="J32" s="69"/>
      <c r="K32" s="91">
        <f>SUM(K26:K31)</f>
        <v>0</v>
      </c>
      <c r="L32" s="91"/>
      <c r="M32" s="69"/>
      <c r="N32" s="91">
        <f>SUM(N26:N31)</f>
        <v>0</v>
      </c>
      <c r="O32" s="91"/>
      <c r="P32" s="69"/>
      <c r="Q32" s="91">
        <f>SUM(Q26:Q31)</f>
        <v>0</v>
      </c>
      <c r="R32" s="91"/>
      <c r="S32" s="91"/>
      <c r="T32" s="91">
        <f t="shared" ref="T32:Z32" si="3">SUM(T26:T31)</f>
        <v>0</v>
      </c>
      <c r="U32" s="91"/>
      <c r="V32" s="91"/>
      <c r="W32" s="91">
        <f t="shared" si="3"/>
        <v>0</v>
      </c>
      <c r="X32" s="91"/>
      <c r="Y32" s="91"/>
      <c r="Z32" s="91">
        <f t="shared" si="3"/>
        <v>0</v>
      </c>
      <c r="AA32" s="450">
        <f t="shared" si="2"/>
        <v>0</v>
      </c>
    </row>
    <row r="33" spans="1:28" s="1" customFormat="1" ht="15">
      <c r="A33" s="72"/>
      <c r="B33" s="74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8"/>
    </row>
    <row r="34" spans="1:28" s="1" customFormat="1" ht="15">
      <c r="A34" s="72"/>
      <c r="B34" s="74"/>
      <c r="C34" s="92" t="s">
        <v>191</v>
      </c>
      <c r="D34" s="93"/>
      <c r="E34" s="94">
        <f>E23+E32</f>
        <v>0</v>
      </c>
      <c r="F34" s="94"/>
      <c r="G34" s="94"/>
      <c r="H34" s="94">
        <f>H23+H32</f>
        <v>0</v>
      </c>
      <c r="I34" s="94"/>
      <c r="J34" s="93"/>
      <c r="K34" s="94">
        <f>K23+K32</f>
        <v>0</v>
      </c>
      <c r="L34" s="94"/>
      <c r="M34" s="94"/>
      <c r="N34" s="94">
        <f>N23+N32</f>
        <v>0</v>
      </c>
      <c r="O34" s="94"/>
      <c r="P34" s="94"/>
      <c r="Q34" s="94">
        <f>Q23+Q32</f>
        <v>0</v>
      </c>
      <c r="R34" s="94"/>
      <c r="S34" s="94"/>
      <c r="T34" s="94">
        <f>T23+T32</f>
        <v>0</v>
      </c>
      <c r="U34" s="94"/>
      <c r="V34" s="94"/>
      <c r="W34" s="94">
        <f>W23+W32</f>
        <v>0</v>
      </c>
      <c r="X34" s="94"/>
      <c r="Y34" s="94"/>
      <c r="Z34" s="94">
        <f>Z23+Z32</f>
        <v>0</v>
      </c>
      <c r="AA34" s="88">
        <f>E34+H34+K34+N34+Q34+T34+W34+Z34</f>
        <v>0</v>
      </c>
    </row>
    <row r="35" spans="1:28" s="1" customFormat="1" ht="15">
      <c r="A35" s="72"/>
      <c r="B35" s="74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8"/>
    </row>
    <row r="36" spans="1:28" s="1" customFormat="1" ht="15">
      <c r="A36" s="72"/>
      <c r="B36" s="74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95"/>
    </row>
    <row r="37" spans="1:28" s="1" customFormat="1" ht="15">
      <c r="A37" s="72" t="s">
        <v>25</v>
      </c>
      <c r="B37" s="72"/>
      <c r="C37" s="74" t="str">
        <f>IF(Budget!F36&lt;&gt;"",Budget!F36,"")</f>
        <v>Materials &amp; Supplies</v>
      </c>
      <c r="D37" s="87"/>
      <c r="E37" s="96">
        <v>0</v>
      </c>
      <c r="F37" s="96"/>
      <c r="G37" s="96"/>
      <c r="H37" s="96">
        <v>0</v>
      </c>
      <c r="I37" s="96"/>
      <c r="J37" s="96"/>
      <c r="K37" s="96">
        <v>0</v>
      </c>
      <c r="L37" s="96"/>
      <c r="M37" s="96"/>
      <c r="N37" s="96">
        <v>0</v>
      </c>
      <c r="O37" s="96"/>
      <c r="P37" s="96"/>
      <c r="Q37" s="96">
        <v>0</v>
      </c>
      <c r="R37" s="96"/>
      <c r="S37" s="96"/>
      <c r="T37" s="96">
        <v>0</v>
      </c>
      <c r="U37" s="96"/>
      <c r="V37" s="96"/>
      <c r="W37" s="96">
        <v>0</v>
      </c>
      <c r="X37" s="96"/>
      <c r="Y37" s="96"/>
      <c r="Z37" s="96">
        <v>0</v>
      </c>
      <c r="AA37" s="88">
        <f>E37+H37+K37+N37+Q37+T37+W37+Z37</f>
        <v>0</v>
      </c>
    </row>
    <row r="38" spans="1:28" s="1" customFormat="1" ht="15">
      <c r="A38" s="72"/>
      <c r="B38" s="72"/>
      <c r="C38" s="74" t="str">
        <f>IF(Budget!F37&lt;&gt;"",Budget!F37,"")</f>
        <v>Other Expenses</v>
      </c>
      <c r="D38" s="87"/>
      <c r="E38" s="96">
        <v>0</v>
      </c>
      <c r="F38" s="96"/>
      <c r="G38" s="96"/>
      <c r="H38" s="96">
        <v>0</v>
      </c>
      <c r="I38" s="96"/>
      <c r="J38" s="96"/>
      <c r="K38" s="96">
        <v>0</v>
      </c>
      <c r="L38" s="96"/>
      <c r="M38" s="96"/>
      <c r="N38" s="96">
        <v>0</v>
      </c>
      <c r="O38" s="96"/>
      <c r="P38" s="96"/>
      <c r="Q38" s="96">
        <v>0</v>
      </c>
      <c r="R38" s="96"/>
      <c r="S38" s="96"/>
      <c r="T38" s="96">
        <v>0</v>
      </c>
      <c r="U38" s="96"/>
      <c r="V38" s="96"/>
      <c r="W38" s="96">
        <v>0</v>
      </c>
      <c r="X38" s="96"/>
      <c r="Y38" s="96"/>
      <c r="Z38" s="96">
        <v>0</v>
      </c>
      <c r="AA38" s="88">
        <f t="shared" ref="AA38:AA47" si="4">E38+H38+K38+N38+Q38+T38+W38+Z38</f>
        <v>0</v>
      </c>
    </row>
    <row r="39" spans="1:28" s="1" customFormat="1" ht="15">
      <c r="A39" s="72"/>
      <c r="B39" s="72"/>
      <c r="C39" s="74" t="str">
        <f>IF(Budget!F38&lt;&gt;"",Budget!F38,"")</f>
        <v>Domestic Travel</v>
      </c>
      <c r="D39" s="87"/>
      <c r="E39" s="96">
        <v>0</v>
      </c>
      <c r="F39" s="96"/>
      <c r="G39" s="96"/>
      <c r="H39" s="96">
        <v>0</v>
      </c>
      <c r="I39" s="96"/>
      <c r="J39" s="96"/>
      <c r="K39" s="96">
        <v>0</v>
      </c>
      <c r="L39" s="96"/>
      <c r="M39" s="96"/>
      <c r="N39" s="96">
        <v>0</v>
      </c>
      <c r="O39" s="96"/>
      <c r="P39" s="96"/>
      <c r="Q39" s="96">
        <v>0</v>
      </c>
      <c r="R39" s="96"/>
      <c r="S39" s="96"/>
      <c r="T39" s="96">
        <v>0</v>
      </c>
      <c r="U39" s="96"/>
      <c r="V39" s="96"/>
      <c r="W39" s="96">
        <v>0</v>
      </c>
      <c r="X39" s="96"/>
      <c r="Y39" s="96"/>
      <c r="Z39" s="96">
        <v>0</v>
      </c>
      <c r="AA39" s="88">
        <f t="shared" si="4"/>
        <v>0</v>
      </c>
    </row>
    <row r="40" spans="1:28" s="1" customFormat="1" ht="15">
      <c r="A40" s="72"/>
      <c r="B40" s="72"/>
      <c r="C40" s="74" t="str">
        <f>IF(Budget!F39&lt;&gt;"",Budget!F39,"")</f>
        <v>Publication Costs</v>
      </c>
      <c r="D40" s="87"/>
      <c r="E40" s="96">
        <v>0</v>
      </c>
      <c r="F40" s="96"/>
      <c r="G40" s="96"/>
      <c r="H40" s="96">
        <v>0</v>
      </c>
      <c r="I40" s="96"/>
      <c r="J40" s="96"/>
      <c r="K40" s="96">
        <v>0</v>
      </c>
      <c r="L40" s="96"/>
      <c r="M40" s="96"/>
      <c r="N40" s="96">
        <v>0</v>
      </c>
      <c r="O40" s="96"/>
      <c r="P40" s="96"/>
      <c r="Q40" s="96">
        <v>0</v>
      </c>
      <c r="R40" s="96"/>
      <c r="S40" s="96"/>
      <c r="T40" s="96">
        <v>0</v>
      </c>
      <c r="U40" s="96"/>
      <c r="V40" s="96"/>
      <c r="W40" s="96">
        <v>0</v>
      </c>
      <c r="X40" s="96"/>
      <c r="Y40" s="96"/>
      <c r="Z40" s="96">
        <v>0</v>
      </c>
      <c r="AA40" s="88">
        <f t="shared" si="4"/>
        <v>0</v>
      </c>
    </row>
    <row r="41" spans="1:28" s="1" customFormat="1" ht="15">
      <c r="A41" s="72"/>
      <c r="B41" s="72"/>
      <c r="C41" s="74" t="str">
        <f>IF(Budget!F40&lt;&gt;"",Budget!F40,"")</f>
        <v>Animal</v>
      </c>
      <c r="D41" s="87"/>
      <c r="E41" s="96">
        <v>0</v>
      </c>
      <c r="F41" s="96"/>
      <c r="G41" s="96"/>
      <c r="H41" s="96">
        <v>0</v>
      </c>
      <c r="I41" s="96"/>
      <c r="J41" s="96"/>
      <c r="K41" s="96">
        <v>0</v>
      </c>
      <c r="L41" s="96"/>
      <c r="M41" s="96"/>
      <c r="N41" s="96">
        <v>0</v>
      </c>
      <c r="O41" s="96"/>
      <c r="P41" s="96"/>
      <c r="Q41" s="96">
        <v>0</v>
      </c>
      <c r="R41" s="96"/>
      <c r="S41" s="96"/>
      <c r="T41" s="96">
        <v>0</v>
      </c>
      <c r="U41" s="96"/>
      <c r="V41" s="96"/>
      <c r="W41" s="96">
        <v>0</v>
      </c>
      <c r="X41" s="96"/>
      <c r="Y41" s="96"/>
      <c r="Z41" s="96">
        <v>0</v>
      </c>
      <c r="AA41" s="88">
        <f t="shared" si="4"/>
        <v>0</v>
      </c>
    </row>
    <row r="42" spans="1:28" s="1" customFormat="1" ht="15" hidden="1" outlineLevel="1">
      <c r="A42" s="72"/>
      <c r="B42" s="72"/>
      <c r="C42" s="74" t="str">
        <f>IF(Budget!F41&lt;&gt;"",Budget!F41,"")</f>
        <v/>
      </c>
      <c r="D42" s="87"/>
      <c r="E42" s="96">
        <v>0</v>
      </c>
      <c r="F42" s="96"/>
      <c r="G42" s="96"/>
      <c r="H42" s="96">
        <v>0</v>
      </c>
      <c r="I42" s="96"/>
      <c r="J42" s="96"/>
      <c r="K42" s="96">
        <v>0</v>
      </c>
      <c r="L42" s="96"/>
      <c r="M42" s="96"/>
      <c r="N42" s="96">
        <v>0</v>
      </c>
      <c r="O42" s="96"/>
      <c r="P42" s="96"/>
      <c r="Q42" s="96">
        <v>0</v>
      </c>
      <c r="R42" s="96"/>
      <c r="S42" s="96"/>
      <c r="T42" s="96">
        <v>0</v>
      </c>
      <c r="U42" s="96"/>
      <c r="V42" s="96"/>
      <c r="W42" s="96">
        <v>0</v>
      </c>
      <c r="X42" s="96"/>
      <c r="Y42" s="96"/>
      <c r="Z42" s="96">
        <v>0</v>
      </c>
      <c r="AA42" s="88">
        <f t="shared" si="4"/>
        <v>0</v>
      </c>
    </row>
    <row r="43" spans="1:28" s="1" customFormat="1" ht="15" hidden="1" outlineLevel="1">
      <c r="A43" s="72"/>
      <c r="B43" s="72"/>
      <c r="C43" s="74" t="str">
        <f>IF(Budget!F42&lt;&gt;"",Budget!F42,"")</f>
        <v/>
      </c>
      <c r="D43" s="87"/>
      <c r="E43" s="96">
        <v>0</v>
      </c>
      <c r="F43" s="96"/>
      <c r="G43" s="96"/>
      <c r="H43" s="96">
        <v>0</v>
      </c>
      <c r="I43" s="96"/>
      <c r="J43" s="96"/>
      <c r="K43" s="96">
        <v>0</v>
      </c>
      <c r="L43" s="96"/>
      <c r="M43" s="96"/>
      <c r="N43" s="96">
        <v>0</v>
      </c>
      <c r="O43" s="96"/>
      <c r="P43" s="96"/>
      <c r="Q43" s="96">
        <v>0</v>
      </c>
      <c r="R43" s="96"/>
      <c r="S43" s="96"/>
      <c r="T43" s="96">
        <v>0</v>
      </c>
      <c r="U43" s="96"/>
      <c r="V43" s="96"/>
      <c r="W43" s="96">
        <v>0</v>
      </c>
      <c r="X43" s="96"/>
      <c r="Y43" s="96"/>
      <c r="Z43" s="96">
        <v>0</v>
      </c>
      <c r="AA43" s="88">
        <f t="shared" si="4"/>
        <v>0</v>
      </c>
    </row>
    <row r="44" spans="1:28" s="1" customFormat="1" ht="15" hidden="1" outlineLevel="1">
      <c r="A44" s="72"/>
      <c r="B44" s="72"/>
      <c r="C44" s="74" t="str">
        <f>IF(Budget!F43&lt;&gt;"",Budget!F43,"")</f>
        <v/>
      </c>
      <c r="D44" s="87"/>
      <c r="E44" s="96">
        <v>0</v>
      </c>
      <c r="F44" s="96"/>
      <c r="G44" s="96"/>
      <c r="H44" s="96">
        <v>0</v>
      </c>
      <c r="I44" s="96"/>
      <c r="J44" s="96"/>
      <c r="K44" s="96">
        <v>0</v>
      </c>
      <c r="L44" s="96"/>
      <c r="M44" s="96"/>
      <c r="N44" s="96">
        <v>0</v>
      </c>
      <c r="O44" s="96"/>
      <c r="P44" s="96"/>
      <c r="Q44" s="96">
        <v>0</v>
      </c>
      <c r="R44" s="96"/>
      <c r="S44" s="96"/>
      <c r="T44" s="96">
        <v>0</v>
      </c>
      <c r="U44" s="96"/>
      <c r="V44" s="96"/>
      <c r="W44" s="96">
        <v>0</v>
      </c>
      <c r="X44" s="96"/>
      <c r="Y44" s="96"/>
      <c r="Z44" s="96">
        <v>0</v>
      </c>
      <c r="AA44" s="88">
        <f t="shared" si="4"/>
        <v>0</v>
      </c>
      <c r="AB44" s="4"/>
    </row>
    <row r="45" spans="1:28" s="1" customFormat="1" ht="15" hidden="1" outlineLevel="1">
      <c r="A45" s="72"/>
      <c r="B45" s="72"/>
      <c r="C45" s="74" t="str">
        <f>IF(Budget!F44&lt;&gt;"",Budget!F44,"")</f>
        <v/>
      </c>
      <c r="D45" s="87"/>
      <c r="E45" s="96">
        <v>0</v>
      </c>
      <c r="F45" s="96"/>
      <c r="G45" s="96"/>
      <c r="H45" s="96">
        <v>0</v>
      </c>
      <c r="I45" s="96"/>
      <c r="J45" s="96"/>
      <c r="K45" s="96">
        <v>0</v>
      </c>
      <c r="L45" s="96"/>
      <c r="M45" s="96"/>
      <c r="N45" s="96">
        <v>0</v>
      </c>
      <c r="O45" s="96"/>
      <c r="P45" s="96"/>
      <c r="Q45" s="96">
        <v>0</v>
      </c>
      <c r="R45" s="96"/>
      <c r="S45" s="96"/>
      <c r="T45" s="96">
        <v>0</v>
      </c>
      <c r="U45" s="96"/>
      <c r="V45" s="96"/>
      <c r="W45" s="96">
        <v>0</v>
      </c>
      <c r="X45" s="96"/>
      <c r="Y45" s="96"/>
      <c r="Z45" s="96">
        <v>0</v>
      </c>
      <c r="AA45" s="88">
        <f t="shared" si="4"/>
        <v>0</v>
      </c>
    </row>
    <row r="46" spans="1:28" s="1" customFormat="1" ht="15" hidden="1" outlineLevel="1">
      <c r="A46" s="72"/>
      <c r="B46" s="72"/>
      <c r="C46" s="74" t="str">
        <f>IF(Budget!F45&lt;&gt;"",Budget!F45,"")</f>
        <v/>
      </c>
      <c r="D46" s="87"/>
      <c r="E46" s="97">
        <v>0</v>
      </c>
      <c r="F46" s="97"/>
      <c r="G46" s="97"/>
      <c r="H46" s="97">
        <v>0</v>
      </c>
      <c r="I46" s="97"/>
      <c r="J46" s="97"/>
      <c r="K46" s="97">
        <v>0</v>
      </c>
      <c r="L46" s="97"/>
      <c r="M46" s="97"/>
      <c r="N46" s="97">
        <v>0</v>
      </c>
      <c r="O46" s="97"/>
      <c r="P46" s="97"/>
      <c r="Q46" s="97">
        <v>0</v>
      </c>
      <c r="R46" s="97"/>
      <c r="S46" s="97"/>
      <c r="T46" s="97">
        <v>0</v>
      </c>
      <c r="U46" s="97"/>
      <c r="V46" s="97"/>
      <c r="W46" s="97">
        <v>0</v>
      </c>
      <c r="X46" s="97"/>
      <c r="Y46" s="97"/>
      <c r="Z46" s="97">
        <v>0</v>
      </c>
      <c r="AA46" s="88">
        <f t="shared" si="4"/>
        <v>0</v>
      </c>
    </row>
    <row r="47" spans="1:28" s="1" customFormat="1" ht="15" collapsed="1">
      <c r="A47" s="72"/>
      <c r="B47" s="74"/>
      <c r="C47" s="92" t="s">
        <v>16</v>
      </c>
      <c r="D47" s="93"/>
      <c r="E47" s="94">
        <f>SUM(E37:E46)</f>
        <v>0</v>
      </c>
      <c r="F47" s="94"/>
      <c r="G47" s="93"/>
      <c r="H47" s="94">
        <f>SUM(H37:H46)</f>
        <v>0</v>
      </c>
      <c r="I47" s="94"/>
      <c r="J47" s="93"/>
      <c r="K47" s="94">
        <f>SUM(K37:K46)</f>
        <v>0</v>
      </c>
      <c r="L47" s="94"/>
      <c r="M47" s="93"/>
      <c r="N47" s="94">
        <f>SUM(N37:N46)</f>
        <v>0</v>
      </c>
      <c r="O47" s="94"/>
      <c r="P47" s="93"/>
      <c r="Q47" s="94">
        <f>SUM(Q37:Q46)</f>
        <v>0</v>
      </c>
      <c r="R47" s="94"/>
      <c r="S47" s="94"/>
      <c r="T47" s="94"/>
      <c r="U47" s="94"/>
      <c r="V47" s="94"/>
      <c r="W47" s="94"/>
      <c r="X47" s="94"/>
      <c r="Y47" s="94"/>
      <c r="Z47" s="94"/>
      <c r="AA47" s="450">
        <f t="shared" si="4"/>
        <v>0</v>
      </c>
    </row>
    <row r="48" spans="1:28" s="1" customFormat="1" ht="15">
      <c r="A48" s="72"/>
      <c r="B48" s="74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8"/>
    </row>
    <row r="49" spans="1:27" s="1" customFormat="1" ht="15">
      <c r="A49" s="277" t="s">
        <v>217</v>
      </c>
      <c r="B49" s="277"/>
      <c r="C49" s="74" t="s">
        <v>41</v>
      </c>
      <c r="D49" s="87"/>
      <c r="E49" s="98">
        <v>0</v>
      </c>
      <c r="F49" s="98"/>
      <c r="G49" s="87"/>
      <c r="H49" s="98">
        <v>0</v>
      </c>
      <c r="I49" s="98"/>
      <c r="J49" s="87"/>
      <c r="K49" s="98">
        <v>0</v>
      </c>
      <c r="L49" s="98"/>
      <c r="M49" s="87"/>
      <c r="N49" s="98">
        <v>0</v>
      </c>
      <c r="O49" s="98"/>
      <c r="P49" s="87"/>
      <c r="Q49" s="98">
        <v>0</v>
      </c>
      <c r="R49" s="98"/>
      <c r="S49" s="98"/>
      <c r="T49" s="98">
        <v>0</v>
      </c>
      <c r="U49" s="98"/>
      <c r="V49" s="98"/>
      <c r="W49" s="98">
        <v>0</v>
      </c>
      <c r="X49" s="98"/>
      <c r="Y49" s="98"/>
      <c r="Z49" s="98">
        <v>0</v>
      </c>
      <c r="AA49" s="88">
        <f>E49+H49+K49+N49+Q49+T49+W49+Z49</f>
        <v>0</v>
      </c>
    </row>
    <row r="50" spans="1:27" s="1" customFormat="1" ht="15">
      <c r="A50" s="72"/>
      <c r="B50" s="72"/>
      <c r="C50" s="76" t="s">
        <v>149</v>
      </c>
      <c r="D50" s="99"/>
      <c r="E50" s="451">
        <f>'Effort and OPS Salary'!K21*D15*$C$15</f>
        <v>0</v>
      </c>
      <c r="F50" s="90"/>
      <c r="G50" s="90"/>
      <c r="H50" s="451">
        <f>'Effort and OPS Salary'!K22*G15*$C$15</f>
        <v>0</v>
      </c>
      <c r="I50" s="90"/>
      <c r="J50" s="90"/>
      <c r="K50" s="451">
        <f>'Effort and OPS Salary'!K23*J15*$C$15</f>
        <v>0</v>
      </c>
      <c r="L50" s="90"/>
      <c r="M50" s="90"/>
      <c r="N50" s="451">
        <f>'Effort and OPS Salary'!K24*M15*$C$15</f>
        <v>0</v>
      </c>
      <c r="O50" s="90"/>
      <c r="P50" s="90"/>
      <c r="Q50" s="451">
        <f>'Effort and OPS Salary'!K25*P15*$C$15</f>
        <v>0</v>
      </c>
      <c r="R50" s="90"/>
      <c r="S50" s="90"/>
      <c r="T50" s="451">
        <f>'Effort and OPS Salary'!N25*S15*$C$15</f>
        <v>0</v>
      </c>
      <c r="U50" s="90"/>
      <c r="V50" s="90"/>
      <c r="W50" s="451">
        <f>'Effort and OPS Salary'!Q25*V15*$C$15</f>
        <v>0</v>
      </c>
      <c r="X50" s="90"/>
      <c r="Y50" s="90"/>
      <c r="Z50" s="451">
        <f>'Effort and OPS Salary'!T25*Y15*$C$15</f>
        <v>0</v>
      </c>
      <c r="AA50" s="88">
        <f>E50+H50+K50+N50+Q50+T50+W50+Z50</f>
        <v>0</v>
      </c>
    </row>
    <row r="51" spans="1:27" s="1" customFormat="1" ht="15">
      <c r="A51" s="72"/>
      <c r="B51" s="72"/>
      <c r="C51" s="76" t="s">
        <v>83</v>
      </c>
      <c r="D51" s="87"/>
      <c r="E51" s="90">
        <v>0</v>
      </c>
      <c r="F51" s="90"/>
      <c r="G51" s="90"/>
      <c r="H51" s="90">
        <v>0</v>
      </c>
      <c r="I51" s="90"/>
      <c r="J51" s="90"/>
      <c r="K51" s="90">
        <v>0</v>
      </c>
      <c r="L51" s="90"/>
      <c r="M51" s="90"/>
      <c r="N51" s="90">
        <v>0</v>
      </c>
      <c r="O51" s="90"/>
      <c r="P51" s="90"/>
      <c r="Q51" s="90">
        <v>0</v>
      </c>
      <c r="R51" s="98"/>
      <c r="S51" s="98"/>
      <c r="T51" s="90">
        <v>0</v>
      </c>
      <c r="U51" s="90"/>
      <c r="V51" s="90"/>
      <c r="W51" s="90">
        <v>0</v>
      </c>
      <c r="X51" s="90"/>
      <c r="Y51" s="90"/>
      <c r="Z51" s="90">
        <v>0</v>
      </c>
      <c r="AA51" s="88">
        <f>E51+H51+K51+N51+Q51+T51+W51+Z51</f>
        <v>0</v>
      </c>
    </row>
    <row r="52" spans="1:27" s="1" customFormat="1" ht="15">
      <c r="A52" s="72"/>
      <c r="B52" s="72"/>
      <c r="C52" s="74" t="s">
        <v>214</v>
      </c>
      <c r="D52" s="89"/>
      <c r="E52" s="89">
        <v>0</v>
      </c>
      <c r="F52" s="89"/>
      <c r="G52" s="89"/>
      <c r="H52" s="89">
        <v>0</v>
      </c>
      <c r="I52" s="89"/>
      <c r="J52" s="89"/>
      <c r="K52" s="89">
        <v>0</v>
      </c>
      <c r="L52" s="89"/>
      <c r="M52" s="89"/>
      <c r="N52" s="89">
        <v>0</v>
      </c>
      <c r="O52" s="89"/>
      <c r="P52" s="89"/>
      <c r="Q52" s="89">
        <v>0</v>
      </c>
      <c r="R52" s="402"/>
      <c r="S52" s="403"/>
      <c r="T52" s="90">
        <v>0</v>
      </c>
      <c r="U52" s="90"/>
      <c r="V52" s="90"/>
      <c r="W52" s="90">
        <v>0</v>
      </c>
      <c r="X52" s="90"/>
      <c r="Y52" s="90"/>
      <c r="Z52" s="90">
        <v>0</v>
      </c>
      <c r="AA52" s="88">
        <f>E52+H52+K52+N52+Q52+T52+W52+Z52</f>
        <v>0</v>
      </c>
    </row>
    <row r="53" spans="1:27" s="1" customFormat="1" ht="15">
      <c r="A53" s="72"/>
      <c r="B53" s="74"/>
      <c r="C53" s="92" t="s">
        <v>17</v>
      </c>
      <c r="D53" s="100"/>
      <c r="E53" s="94">
        <f>SUM(E49:E51)</f>
        <v>0</v>
      </c>
      <c r="F53" s="94"/>
      <c r="G53" s="100"/>
      <c r="H53" s="94">
        <f>SUM(H49:H51)</f>
        <v>0</v>
      </c>
      <c r="I53" s="94"/>
      <c r="J53" s="100"/>
      <c r="K53" s="94">
        <f>SUM(K49:K51)</f>
        <v>0</v>
      </c>
      <c r="L53" s="94"/>
      <c r="M53" s="100"/>
      <c r="N53" s="94">
        <f>SUM(N49:N51)</f>
        <v>0</v>
      </c>
      <c r="O53" s="94"/>
      <c r="P53" s="100"/>
      <c r="Q53" s="94">
        <f>SUM(Q49:Q51)</f>
        <v>0</v>
      </c>
      <c r="R53" s="94"/>
      <c r="S53" s="94"/>
      <c r="T53" s="449">
        <f>SUM(T49:T52)</f>
        <v>0</v>
      </c>
      <c r="U53" s="449"/>
      <c r="V53" s="449"/>
      <c r="W53" s="449">
        <f>SUM(W49:W52)</f>
        <v>0</v>
      </c>
      <c r="X53" s="449"/>
      <c r="Y53" s="449"/>
      <c r="Z53" s="449">
        <f>SUM(Z49:Z51)</f>
        <v>0</v>
      </c>
      <c r="AA53" s="450">
        <f>E53+H53+K53+N53+Q53+T53+W53+Z53</f>
        <v>0</v>
      </c>
    </row>
    <row r="54" spans="1:27" s="1" customFormat="1" ht="15">
      <c r="A54" s="72"/>
      <c r="B54" s="74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8"/>
    </row>
    <row r="55" spans="1:27" s="1" customFormat="1" ht="15">
      <c r="A55" s="75" t="s">
        <v>33</v>
      </c>
      <c r="B55" s="77"/>
      <c r="C55" s="92" t="s">
        <v>34</v>
      </c>
      <c r="D55" s="93"/>
      <c r="E55" s="94">
        <f>E34+E47+E53</f>
        <v>0</v>
      </c>
      <c r="F55" s="94"/>
      <c r="G55" s="93"/>
      <c r="H55" s="94">
        <f>H34+H47+H53</f>
        <v>0</v>
      </c>
      <c r="I55" s="94"/>
      <c r="J55" s="93"/>
      <c r="K55" s="94">
        <f>K34+K47+K53</f>
        <v>0</v>
      </c>
      <c r="L55" s="94"/>
      <c r="M55" s="93"/>
      <c r="N55" s="94">
        <f>N34+N47+N53</f>
        <v>0</v>
      </c>
      <c r="O55" s="94"/>
      <c r="P55" s="93"/>
      <c r="Q55" s="94">
        <f>Q34+Q47+Q53</f>
        <v>0</v>
      </c>
      <c r="R55" s="94"/>
      <c r="S55" s="94"/>
      <c r="T55" s="94">
        <f>T34+T47+T53</f>
        <v>0</v>
      </c>
      <c r="U55" s="94"/>
      <c r="V55" s="94"/>
      <c r="W55" s="94">
        <f>W34+W47+W53</f>
        <v>0</v>
      </c>
      <c r="X55" s="94"/>
      <c r="Y55" s="94"/>
      <c r="Z55" s="94">
        <f>Z34+Z47+Z53</f>
        <v>0</v>
      </c>
      <c r="AA55" s="88">
        <f>SUM(E55,H55,K55,N55,Q55,T55,W55,Z55)</f>
        <v>0</v>
      </c>
    </row>
    <row r="56" spans="1:27" s="1" customFormat="1" ht="15">
      <c r="A56" s="78"/>
      <c r="B56" s="79"/>
      <c r="C56" s="103"/>
      <c r="D56" s="101"/>
      <c r="E56" s="104"/>
      <c r="F56" s="104"/>
      <c r="G56" s="101"/>
      <c r="H56" s="104"/>
      <c r="I56" s="104"/>
      <c r="J56" s="101"/>
      <c r="K56" s="104"/>
      <c r="L56" s="104"/>
      <c r="M56" s="101"/>
      <c r="N56" s="104"/>
      <c r="O56" s="104"/>
      <c r="P56" s="101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88"/>
    </row>
    <row r="57" spans="1:27" s="1" customFormat="1" ht="15">
      <c r="A57" s="73" t="s">
        <v>85</v>
      </c>
      <c r="B57" s="80"/>
      <c r="C57" s="105"/>
      <c r="D57" s="105"/>
      <c r="E57" s="88">
        <v>0</v>
      </c>
      <c r="F57" s="105"/>
      <c r="G57" s="105"/>
      <c r="H57" s="88">
        <v>0</v>
      </c>
      <c r="I57" s="105"/>
      <c r="J57" s="105"/>
      <c r="K57" s="88">
        <v>0</v>
      </c>
      <c r="L57" s="105"/>
      <c r="M57" s="105"/>
      <c r="N57" s="88">
        <v>0</v>
      </c>
      <c r="O57" s="105"/>
      <c r="P57" s="105"/>
      <c r="Q57" s="88">
        <v>0</v>
      </c>
      <c r="R57" s="88"/>
      <c r="S57" s="88"/>
      <c r="T57" s="88">
        <v>0</v>
      </c>
      <c r="U57" s="88"/>
      <c r="V57" s="88"/>
      <c r="W57" s="88">
        <v>0</v>
      </c>
      <c r="X57" s="88"/>
      <c r="Y57" s="88"/>
      <c r="Z57" s="88">
        <v>0</v>
      </c>
      <c r="AA57" s="88">
        <f>SUM(E57,H57,K57,N57,Q57,T57,W57,Z57)</f>
        <v>0</v>
      </c>
    </row>
    <row r="58" spans="1:27" s="1" customFormat="1" ht="15">
      <c r="A58" s="78"/>
      <c r="B58" s="79"/>
      <c r="C58" s="103"/>
      <c r="D58" s="101"/>
      <c r="E58" s="104"/>
      <c r="F58" s="104"/>
      <c r="G58" s="101"/>
      <c r="H58" s="104"/>
      <c r="I58" s="104"/>
      <c r="J58" s="101"/>
      <c r="K58" s="104"/>
      <c r="L58" s="104"/>
      <c r="M58" s="101"/>
      <c r="N58" s="104"/>
      <c r="O58" s="104"/>
      <c r="P58" s="101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88"/>
    </row>
    <row r="59" spans="1:27" s="1" customFormat="1" ht="15">
      <c r="A59" s="81" t="s">
        <v>86</v>
      </c>
      <c r="B59" s="82"/>
      <c r="C59" s="106"/>
      <c r="D59" s="106"/>
      <c r="E59" s="107">
        <f>E57-E55</f>
        <v>0</v>
      </c>
      <c r="F59" s="106"/>
      <c r="G59" s="106"/>
      <c r="H59" s="107">
        <f>H57-H55</f>
        <v>0</v>
      </c>
      <c r="I59" s="106"/>
      <c r="J59" s="106"/>
      <c r="K59" s="108">
        <f>K57-K55</f>
        <v>0</v>
      </c>
      <c r="L59" s="106"/>
      <c r="M59" s="106"/>
      <c r="N59" s="108">
        <f>N57-N55</f>
        <v>0</v>
      </c>
      <c r="O59" s="106"/>
      <c r="P59" s="106"/>
      <c r="Q59" s="108">
        <f>Q57-Q55</f>
        <v>0</v>
      </c>
      <c r="R59" s="108"/>
      <c r="S59" s="108"/>
      <c r="T59" s="108">
        <f>T57-T55</f>
        <v>0</v>
      </c>
      <c r="U59" s="108"/>
      <c r="V59" s="108"/>
      <c r="W59" s="108">
        <f>W57-W55</f>
        <v>0</v>
      </c>
      <c r="X59" s="108"/>
      <c r="Y59" s="108"/>
      <c r="Z59" s="108">
        <f>Z57-Z55</f>
        <v>0</v>
      </c>
      <c r="AA59" s="88">
        <f>SUM(E59,H59,K59,N59,Q59,T59,W59,Z59)</f>
        <v>0</v>
      </c>
    </row>
    <row r="60" spans="1:27" s="1" customFormat="1" ht="15">
      <c r="A60" s="78"/>
      <c r="B60" s="79"/>
      <c r="C60" s="103"/>
      <c r="D60" s="101"/>
      <c r="E60" s="104"/>
      <c r="F60" s="104"/>
      <c r="G60" s="101"/>
      <c r="H60" s="104"/>
      <c r="I60" s="104"/>
      <c r="J60" s="101"/>
      <c r="K60" s="104"/>
      <c r="L60" s="104"/>
      <c r="M60" s="101"/>
      <c r="N60" s="104"/>
      <c r="O60" s="104"/>
      <c r="P60" s="101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88"/>
    </row>
    <row r="61" spans="1:27" s="1" customFormat="1" ht="15">
      <c r="A61" s="74"/>
      <c r="B61" s="74"/>
      <c r="C61" s="87"/>
      <c r="D61" s="69"/>
      <c r="E61" s="91"/>
      <c r="F61" s="91"/>
      <c r="G61" s="69"/>
      <c r="H61" s="91"/>
      <c r="I61" s="91"/>
      <c r="J61" s="69"/>
      <c r="K61" s="91"/>
      <c r="L61" s="91"/>
      <c r="M61" s="69"/>
      <c r="N61" s="91"/>
      <c r="O61" s="91"/>
      <c r="P61" s="69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88"/>
    </row>
    <row r="62" spans="1:27" s="1" customFormat="1" ht="15">
      <c r="A62" s="83" t="s">
        <v>35</v>
      </c>
      <c r="B62" s="84"/>
      <c r="C62" s="111" t="s">
        <v>36</v>
      </c>
      <c r="D62" s="109"/>
      <c r="E62" s="68">
        <f>E55-E53</f>
        <v>0</v>
      </c>
      <c r="F62" s="68"/>
      <c r="G62" s="109"/>
      <c r="H62" s="68">
        <f>H55-H53</f>
        <v>0</v>
      </c>
      <c r="I62" s="68"/>
      <c r="J62" s="109"/>
      <c r="K62" s="68">
        <f>K55-K53</f>
        <v>0</v>
      </c>
      <c r="L62" s="68"/>
      <c r="M62" s="109"/>
      <c r="N62" s="68">
        <f>N55-N53</f>
        <v>0</v>
      </c>
      <c r="O62" s="68"/>
      <c r="P62" s="109"/>
      <c r="Q62" s="68">
        <f>Q55-Q53</f>
        <v>0</v>
      </c>
      <c r="R62" s="68"/>
      <c r="S62" s="68"/>
      <c r="T62" s="68">
        <f>T55-T53</f>
        <v>0</v>
      </c>
      <c r="U62" s="68"/>
      <c r="V62" s="68"/>
      <c r="W62" s="68">
        <f>W55-W53</f>
        <v>0</v>
      </c>
      <c r="X62" s="68"/>
      <c r="Y62" s="68"/>
      <c r="Z62" s="68">
        <f>Z55-Z53</f>
        <v>0</v>
      </c>
      <c r="AA62" s="88">
        <f>SUM(E62,H62,K62,N62,Q62,T62,W62,Z62)</f>
        <v>0</v>
      </c>
    </row>
    <row r="63" spans="1:27" s="1" customFormat="1" ht="15">
      <c r="A63" s="72"/>
      <c r="B63" s="74"/>
      <c r="C63" s="69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8"/>
    </row>
    <row r="64" spans="1:27" s="1" customFormat="1" ht="15">
      <c r="A64" s="83" t="s">
        <v>24</v>
      </c>
      <c r="B64" s="84"/>
      <c r="C64" s="112" t="s">
        <v>18</v>
      </c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8"/>
    </row>
    <row r="65" spans="1:29" s="1" customFormat="1" ht="15">
      <c r="A65" s="74"/>
      <c r="B65" s="74"/>
      <c r="C65" s="279">
        <f>Budget!F64</f>
        <v>0.52500000000000002</v>
      </c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8"/>
    </row>
    <row r="66" spans="1:29" s="1" customFormat="1" ht="15">
      <c r="A66" s="74"/>
      <c r="B66" s="74"/>
      <c r="C66" s="111" t="s">
        <v>19</v>
      </c>
      <c r="D66" s="110"/>
      <c r="E66" s="68">
        <f>E62*$C65</f>
        <v>0</v>
      </c>
      <c r="F66" s="110"/>
      <c r="G66" s="110"/>
      <c r="H66" s="68">
        <f>H62*$C65</f>
        <v>0</v>
      </c>
      <c r="I66" s="110"/>
      <c r="J66" s="110"/>
      <c r="K66" s="68">
        <f>K62*$C65</f>
        <v>0</v>
      </c>
      <c r="L66" s="110"/>
      <c r="M66" s="110"/>
      <c r="N66" s="68">
        <f>N62*$C65</f>
        <v>0</v>
      </c>
      <c r="O66" s="110"/>
      <c r="P66" s="110"/>
      <c r="Q66" s="68">
        <f>Q62*$C65</f>
        <v>0</v>
      </c>
      <c r="R66" s="68"/>
      <c r="S66" s="68"/>
      <c r="T66" s="68">
        <f>T62*$C65</f>
        <v>0</v>
      </c>
      <c r="U66" s="68"/>
      <c r="V66" s="68"/>
      <c r="W66" s="68">
        <f>W62*$C65</f>
        <v>0</v>
      </c>
      <c r="X66" s="68"/>
      <c r="Y66" s="68"/>
      <c r="Z66" s="68">
        <f>Z62*$C65</f>
        <v>0</v>
      </c>
      <c r="AA66" s="88">
        <f>SUM(E66,H66,K66,N66,Q66,T66,W66,Z66)</f>
        <v>0</v>
      </c>
    </row>
    <row r="67" spans="1:29" s="1" customFormat="1" ht="15">
      <c r="A67" s="74"/>
      <c r="B67" s="74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8"/>
    </row>
    <row r="68" spans="1:29" s="1" customFormat="1" ht="15">
      <c r="A68" s="74"/>
      <c r="B68" s="74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8"/>
    </row>
    <row r="69" spans="1:29" s="1" customFormat="1" ht="15">
      <c r="A69" s="73" t="s">
        <v>20</v>
      </c>
      <c r="B69" s="80"/>
      <c r="C69" s="105"/>
      <c r="D69" s="105"/>
      <c r="E69" s="88">
        <f>E55+E66</f>
        <v>0</v>
      </c>
      <c r="F69" s="88"/>
      <c r="G69" s="105"/>
      <c r="H69" s="88">
        <f>H55+H66</f>
        <v>0</v>
      </c>
      <c r="I69" s="88"/>
      <c r="J69" s="105"/>
      <c r="K69" s="88">
        <f>K55+K66</f>
        <v>0</v>
      </c>
      <c r="L69" s="88"/>
      <c r="M69" s="105"/>
      <c r="N69" s="88">
        <f>N55+N66</f>
        <v>0</v>
      </c>
      <c r="O69" s="88"/>
      <c r="P69" s="105"/>
      <c r="Q69" s="88">
        <f>Q55+Q66</f>
        <v>0</v>
      </c>
      <c r="R69" s="88"/>
      <c r="S69" s="88"/>
      <c r="T69" s="88">
        <f>T55+T66</f>
        <v>0</v>
      </c>
      <c r="U69" s="88"/>
      <c r="V69" s="88"/>
      <c r="W69" s="88">
        <f>W55+W66</f>
        <v>0</v>
      </c>
      <c r="X69" s="88"/>
      <c r="Y69" s="88"/>
      <c r="Z69" s="88">
        <f>Z55+Z66</f>
        <v>0</v>
      </c>
      <c r="AA69" s="88">
        <f>SUM(E69,H69,K69,N69,Q69,T69,W69,Z69)</f>
        <v>0</v>
      </c>
      <c r="AB69" s="102"/>
    </row>
    <row r="70" spans="1:29" s="1" customFormat="1" ht="15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102"/>
    </row>
    <row r="71" spans="1:29" s="1" customFormat="1" ht="15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66"/>
    </row>
    <row r="72" spans="1:29">
      <c r="A72" s="1"/>
      <c r="B72" s="1"/>
      <c r="C72" s="1"/>
      <c r="D72" s="1"/>
      <c r="E72" s="1"/>
      <c r="F72" s="3"/>
      <c r="G72" s="3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5"/>
    </row>
    <row r="73" spans="1:29">
      <c r="A73" s="113"/>
      <c r="B73" s="113"/>
      <c r="C73" s="113"/>
      <c r="D73" s="11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5"/>
    </row>
    <row r="74" spans="1:29">
      <c r="A74" s="4"/>
      <c r="B74" s="15"/>
      <c r="C74" s="15"/>
      <c r="D74" s="15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5"/>
    </row>
    <row r="75" spans="1:29">
      <c r="A75" s="4"/>
      <c r="B75" s="16"/>
      <c r="C75" s="16"/>
      <c r="D75" s="16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5"/>
    </row>
    <row r="76" spans="1:29">
      <c r="A76" s="4"/>
      <c r="B76" s="16"/>
      <c r="C76" s="16"/>
      <c r="D76" s="16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5"/>
    </row>
    <row r="77" spans="1:29">
      <c r="A77" s="4"/>
      <c r="B77" s="16"/>
      <c r="C77" s="16"/>
      <c r="D77" s="16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5"/>
    </row>
    <row r="78" spans="1:29">
      <c r="A78" s="4"/>
      <c r="B78" s="16"/>
      <c r="C78" s="16"/>
      <c r="D78" s="16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5"/>
    </row>
    <row r="79" spans="1:29">
      <c r="A79" s="4"/>
      <c r="B79" s="16"/>
      <c r="C79" s="16"/>
      <c r="D79" s="16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5"/>
    </row>
    <row r="80" spans="1:29">
      <c r="A80" s="4"/>
      <c r="B80" s="16"/>
      <c r="C80" s="16"/>
      <c r="D80" s="16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5"/>
      <c r="AC80" s="5"/>
    </row>
    <row r="81" spans="1:29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1:29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1:29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1:29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1:29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1:29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1:29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1:29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1:29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1:29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1:29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1:29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1:29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1:29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1:29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spans="1:29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spans="1:29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1:29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1:29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1:29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1:29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1:29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1:29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1:29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1:29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1:29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1:29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1:29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1:29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1:29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1:29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1:29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1:29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1:29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1:29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29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1:29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1:29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1:29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1:29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1:29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1:29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1:29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1:29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1:29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1:29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1:29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spans="1:29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spans="1:29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 spans="1:29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 spans="1:29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 spans="1:29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spans="1:29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 spans="1:29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 spans="1:29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spans="1:29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1:29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1:29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1:29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1:29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1:29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1:29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1:29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1:29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1:29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1:29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1:29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1:29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1:29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1:29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1:29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spans="1:29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</row>
    <row r="153" spans="1:29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</row>
    <row r="154" spans="1:29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</row>
    <row r="155" spans="1:29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</row>
    <row r="156" spans="1:29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</row>
    <row r="157" spans="1:29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</row>
    <row r="158" spans="1:29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</row>
    <row r="159" spans="1:29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</row>
    <row r="160" spans="1:29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</row>
    <row r="161" spans="1:29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</row>
    <row r="162" spans="1:29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</row>
    <row r="163" spans="1:29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</row>
    <row r="164" spans="1:29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</row>
    <row r="165" spans="1:29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</row>
    <row r="166" spans="1:29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</row>
    <row r="167" spans="1:29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</row>
    <row r="168" spans="1:29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</row>
    <row r="169" spans="1:29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</row>
    <row r="170" spans="1:29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</row>
    <row r="171" spans="1:29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</row>
    <row r="172" spans="1:29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</row>
    <row r="173" spans="1:29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</row>
    <row r="174" spans="1:29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</row>
    <row r="175" spans="1:29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</row>
    <row r="176" spans="1:29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</row>
    <row r="177" spans="1:29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 spans="1:29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</row>
    <row r="179" spans="1:29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</row>
    <row r="180" spans="1:29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</row>
    <row r="181" spans="1:29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spans="1:29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</row>
    <row r="183" spans="1:29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</row>
    <row r="184" spans="1:29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</row>
    <row r="185" spans="1:29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</row>
    <row r="186" spans="1:29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</row>
    <row r="187" spans="1:29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</row>
    <row r="188" spans="1:29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</row>
    <row r="189" spans="1:29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</row>
    <row r="190" spans="1:29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</row>
    <row r="191" spans="1:29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</row>
    <row r="192" spans="1:29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</row>
    <row r="193" spans="1:29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</row>
    <row r="194" spans="1:29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</row>
    <row r="195" spans="1:29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</row>
    <row r="196" spans="1:29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</row>
    <row r="197" spans="1:29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</row>
    <row r="198" spans="1:29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</row>
    <row r="199" spans="1:29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</row>
    <row r="200" spans="1:29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</row>
    <row r="201" spans="1:29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</row>
    <row r="202" spans="1:29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</row>
    <row r="203" spans="1:29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</row>
    <row r="204" spans="1:29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</row>
    <row r="205" spans="1:29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</row>
    <row r="206" spans="1:29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</row>
    <row r="207" spans="1:29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</row>
    <row r="208" spans="1:29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</row>
    <row r="209" spans="1:29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</row>
    <row r="210" spans="1:29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</row>
    <row r="211" spans="1:29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</row>
    <row r="212" spans="1:29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</row>
    <row r="213" spans="1:29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</row>
    <row r="214" spans="1:29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</row>
    <row r="215" spans="1:29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</row>
    <row r="216" spans="1:29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</row>
    <row r="217" spans="1:29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</row>
    <row r="218" spans="1:29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</row>
    <row r="219" spans="1:29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</row>
    <row r="220" spans="1:29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</row>
    <row r="221" spans="1:29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</row>
    <row r="222" spans="1:29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</row>
    <row r="223" spans="1:29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</row>
    <row r="224" spans="1:29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</row>
    <row r="225" spans="1:29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</row>
    <row r="226" spans="1:29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</row>
    <row r="227" spans="1:29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</row>
    <row r="228" spans="1:29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</row>
    <row r="229" spans="1:29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</row>
    <row r="230" spans="1:29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</row>
    <row r="231" spans="1:29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</row>
    <row r="232" spans="1:29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</row>
    <row r="233" spans="1:29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</row>
    <row r="234" spans="1:29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</row>
    <row r="235" spans="1:29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</row>
    <row r="236" spans="1:29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</row>
    <row r="237" spans="1:29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</row>
    <row r="238" spans="1:29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</row>
    <row r="239" spans="1:29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</row>
    <row r="240" spans="1:29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</row>
    <row r="241" spans="1:29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</row>
    <row r="242" spans="1:29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</row>
    <row r="243" spans="1:29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</row>
    <row r="244" spans="1:29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</row>
    <row r="245" spans="1:29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</row>
    <row r="246" spans="1:29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</row>
    <row r="247" spans="1:29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</row>
    <row r="248" spans="1:29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</row>
    <row r="249" spans="1:29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</row>
    <row r="250" spans="1:29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</row>
    <row r="251" spans="1:29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</row>
    <row r="252" spans="1:29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</row>
    <row r="253" spans="1:29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</row>
    <row r="254" spans="1:29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</row>
    <row r="255" spans="1:29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</row>
    <row r="256" spans="1:29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</row>
    <row r="257" spans="1:29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</row>
    <row r="258" spans="1:29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</row>
    <row r="259" spans="1:29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</row>
    <row r="260" spans="1:29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</row>
    <row r="261" spans="1:29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</row>
    <row r="262" spans="1:29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</row>
    <row r="263" spans="1:29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</row>
    <row r="264" spans="1:29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</row>
    <row r="265" spans="1:29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</row>
    <row r="266" spans="1:29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</row>
    <row r="267" spans="1:29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</row>
    <row r="268" spans="1:29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</row>
    <row r="269" spans="1:29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</row>
    <row r="270" spans="1:29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</row>
    <row r="271" spans="1:29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</row>
    <row r="272" spans="1:29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</row>
    <row r="273" spans="1:29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</row>
    <row r="274" spans="1:29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</row>
    <row r="275" spans="1:29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</row>
    <row r="276" spans="1:29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</row>
    <row r="277" spans="1:29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</row>
    <row r="278" spans="1:29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</row>
    <row r="279" spans="1:29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</row>
    <row r="280" spans="1:29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</row>
    <row r="281" spans="1:29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</row>
    <row r="282" spans="1:29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</row>
    <row r="283" spans="1:29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</row>
    <row r="284" spans="1:29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</row>
    <row r="285" spans="1:29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</row>
    <row r="286" spans="1:29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</row>
    <row r="287" spans="1:29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</row>
    <row r="288" spans="1:29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</row>
    <row r="289" spans="1:29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</row>
    <row r="290" spans="1:29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</row>
    <row r="291" spans="1:29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</row>
    <row r="292" spans="1:29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</row>
    <row r="293" spans="1:29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</row>
    <row r="294" spans="1:29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</row>
    <row r="295" spans="1:29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</row>
    <row r="296" spans="1:29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</row>
    <row r="297" spans="1:29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</row>
    <row r="298" spans="1:29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</row>
    <row r="299" spans="1:29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</row>
    <row r="300" spans="1:29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</row>
    <row r="301" spans="1:29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</row>
    <row r="302" spans="1:29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</row>
    <row r="303" spans="1:29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</row>
    <row r="304" spans="1:29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</row>
    <row r="305" spans="1:29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</row>
    <row r="306" spans="1:29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</row>
    <row r="307" spans="1:29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</row>
    <row r="308" spans="1:29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</row>
    <row r="309" spans="1:29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</row>
    <row r="310" spans="1:29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</row>
    <row r="311" spans="1:29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</row>
    <row r="312" spans="1:29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</row>
    <row r="313" spans="1:29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</row>
    <row r="314" spans="1:29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</row>
    <row r="315" spans="1:29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</row>
    <row r="316" spans="1:29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</row>
    <row r="317" spans="1:29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</row>
    <row r="318" spans="1:29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</row>
    <row r="319" spans="1:29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</row>
    <row r="320" spans="1:29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</sheetData>
  <mergeCells count="32">
    <mergeCell ref="R8:T8"/>
    <mergeCell ref="U8:W8"/>
    <mergeCell ref="X8:Z8"/>
    <mergeCell ref="C9:E9"/>
    <mergeCell ref="F9:H9"/>
    <mergeCell ref="I9:K9"/>
    <mergeCell ref="L9:N9"/>
    <mergeCell ref="O9:Q9"/>
    <mergeCell ref="R9:T9"/>
    <mergeCell ref="U9:W9"/>
    <mergeCell ref="X9:Z9"/>
    <mergeCell ref="C8:E8"/>
    <mergeCell ref="F8:H8"/>
    <mergeCell ref="I8:K8"/>
    <mergeCell ref="L8:N8"/>
    <mergeCell ref="O8:Q8"/>
    <mergeCell ref="C10:E10"/>
    <mergeCell ref="F10:H10"/>
    <mergeCell ref="I10:K10"/>
    <mergeCell ref="L10:N10"/>
    <mergeCell ref="O10:Q10"/>
    <mergeCell ref="R10:T10"/>
    <mergeCell ref="U10:W10"/>
    <mergeCell ref="X10:Z10"/>
    <mergeCell ref="AP15:AQ15"/>
    <mergeCell ref="AR15:AS15"/>
    <mergeCell ref="AD15:AE15"/>
    <mergeCell ref="AF15:AG15"/>
    <mergeCell ref="AH15:AI15"/>
    <mergeCell ref="AJ15:AK15"/>
    <mergeCell ref="AL15:AM15"/>
    <mergeCell ref="AN15:AO15"/>
  </mergeCells>
  <dataValidations count="1">
    <dataValidation type="list" showInputMessage="1" showErrorMessage="1" promptTitle="NIH Salary Cap: " prompt="FY19 - $192,300" sqref="B4" xr:uid="{00000000-0002-0000-0700-000000000000}">
      <formula1>"$192300, none"</formula1>
    </dataValidation>
  </dataValidations>
  <hyperlinks>
    <hyperlink ref="A26" r:id="rId1" display="FRINGES:" xr:uid="{00000000-0004-0000-0700-000000000000}"/>
    <hyperlink ref="A64" r:id="rId2" xr:uid="{00000000-0004-0000-0700-000001000000}"/>
    <hyperlink ref="A4" r:id="rId3" xr:uid="{00000000-0004-0000-0700-000002000000}"/>
    <hyperlink ref="A11" r:id="rId4" xr:uid="{00000000-0004-0000-0700-000003000000}"/>
    <hyperlink ref="C50" r:id="rId5" xr:uid="{00000000-0004-0000-0700-000004000000}"/>
    <hyperlink ref="C51" r:id="rId6" xr:uid="{00000000-0004-0000-0700-000005000000}"/>
    <hyperlink ref="B17" r:id="rId7" xr:uid="{00000000-0004-0000-0700-000006000000}"/>
  </hyperlinks>
  <pageMargins left="0.75" right="0.75" top="1" bottom="1" header="0.5" footer="0.5"/>
  <pageSetup scale="43" orientation="portrait" horizontalDpi="4294967292" verticalDpi="429496729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T320"/>
  <sheetViews>
    <sheetView topLeftCell="A2" zoomScale="80" zoomScaleNormal="80" workbookViewId="0">
      <pane ySplit="9" topLeftCell="A11" activePane="bottomLeft" state="frozen"/>
      <selection activeCell="F27" sqref="F27"/>
      <selection pane="bottomLeft" activeCell="B2" sqref="B2:O2"/>
    </sheetView>
  </sheetViews>
  <sheetFormatPr defaultColWidth="11.09765625" defaultRowHeight="15.6" outlineLevelRow="1" outlineLevelCol="1"/>
  <cols>
    <col min="1" max="1" width="32.59765625" customWidth="1"/>
    <col min="2" max="2" width="19.3984375" customWidth="1"/>
    <col min="3" max="3" width="18.59765625" customWidth="1"/>
    <col min="4" max="4" width="19.19921875" customWidth="1"/>
    <col min="5" max="5" width="12.19921875" customWidth="1"/>
    <col min="6" max="6" width="12.09765625" customWidth="1"/>
    <col min="7" max="7" width="12.69921875" customWidth="1"/>
    <col min="8" max="8" width="11" customWidth="1"/>
    <col min="9" max="9" width="12.5" customWidth="1"/>
    <col min="10" max="10" width="12" customWidth="1"/>
    <col min="11" max="11" width="11" customWidth="1"/>
    <col min="12" max="12" width="11.19921875" customWidth="1"/>
    <col min="13" max="13" width="12.3984375" customWidth="1"/>
    <col min="14" max="14" width="10.8984375" customWidth="1"/>
    <col min="15" max="15" width="11.5" customWidth="1"/>
    <col min="16" max="16" width="11.8984375" customWidth="1"/>
    <col min="17" max="17" width="11.3984375" customWidth="1"/>
    <col min="18" max="26" width="11.3984375" hidden="1" customWidth="1" outlineLevel="1"/>
    <col min="27" max="27" width="11.3984375" customWidth="1" collapsed="1"/>
    <col min="28" max="28" width="14.09765625" customWidth="1"/>
    <col min="29" max="29" width="19.3984375" bestFit="1" customWidth="1"/>
    <col min="40" max="45" width="0" hidden="1" customWidth="1" outlineLevel="1"/>
    <col min="46" max="46" width="11.09765625" collapsed="1"/>
  </cols>
  <sheetData>
    <row r="1" spans="1:45" s="58" customFormat="1">
      <c r="A1" s="68" t="s">
        <v>40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45" s="58" customFormat="1">
      <c r="A2" s="68" t="s">
        <v>40</v>
      </c>
      <c r="B2" s="456">
        <f>Budget!B1</f>
        <v>0</v>
      </c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45" s="1" customFormat="1">
      <c r="A3" s="69" t="s">
        <v>39</v>
      </c>
      <c r="B3" s="61" t="str">
        <f>Budget!B2</f>
        <v>NIH</v>
      </c>
      <c r="AA3" s="63"/>
    </row>
    <row r="4" spans="1:45" s="1" customFormat="1">
      <c r="A4" s="258" t="s">
        <v>82</v>
      </c>
      <c r="B4" s="64">
        <f>CAP</f>
        <v>199300</v>
      </c>
      <c r="C4" s="62"/>
      <c r="AA4" s="63"/>
    </row>
    <row r="5" spans="1:45" s="1" customFormat="1">
      <c r="A5" s="69" t="s">
        <v>76</v>
      </c>
      <c r="B5" s="60">
        <f>Budget!B4</f>
        <v>44743</v>
      </c>
      <c r="C5" s="60"/>
      <c r="AA5" s="63"/>
    </row>
    <row r="6" spans="1:45" s="1" customFormat="1">
      <c r="A6" s="69" t="s">
        <v>77</v>
      </c>
      <c r="B6" s="60">
        <f>Budget!B5</f>
        <v>46568</v>
      </c>
      <c r="C6" s="60"/>
      <c r="AA6" s="63"/>
    </row>
    <row r="7" spans="1:45" s="1" customFormat="1">
      <c r="A7" s="70" t="s">
        <v>87</v>
      </c>
      <c r="B7" s="67">
        <f>Budget!B6</f>
        <v>0.03</v>
      </c>
      <c r="C7" s="60"/>
      <c r="AA7" s="63"/>
    </row>
    <row r="8" spans="1:45" s="1" customFormat="1" hidden="1">
      <c r="A8" s="71" t="s">
        <v>78</v>
      </c>
      <c r="B8" s="257">
        <f>ROUND((B6-B5)/365,2)</f>
        <v>5</v>
      </c>
      <c r="C8" s="575">
        <f>IF(B8&gt;0,IF(B8&lt;1,B8,1),0)</f>
        <v>1</v>
      </c>
      <c r="D8" s="575"/>
      <c r="E8" s="575"/>
      <c r="F8" s="575">
        <f>IF(B8&lt;=1,0,IF(B8&lt;2,B8-1,1))</f>
        <v>1</v>
      </c>
      <c r="G8" s="575"/>
      <c r="H8" s="575"/>
      <c r="I8" s="575">
        <f>IF(B8&lt;=2,0,IF(B8&lt;3,B8-2,1))</f>
        <v>1</v>
      </c>
      <c r="J8" s="575"/>
      <c r="K8" s="575"/>
      <c r="L8" s="575">
        <f>IF(B8&lt;=3,0,IF(B8&lt;4,B8-3,1))</f>
        <v>1</v>
      </c>
      <c r="M8" s="575"/>
      <c r="N8" s="575"/>
      <c r="O8" s="575">
        <f>IF(B8&lt;=4,0,IF(B8&lt;5,B8-4,1))</f>
        <v>1</v>
      </c>
      <c r="P8" s="575"/>
      <c r="Q8" s="575"/>
      <c r="R8" s="575">
        <f>IF(B8&lt;=5,0,IF(B8&lt;6,B8-5,1))</f>
        <v>0</v>
      </c>
      <c r="S8" s="575"/>
      <c r="T8" s="575"/>
      <c r="U8" s="575">
        <f>IF(B8&lt;=6,0,IF(B8&lt;7,B8-6,1))</f>
        <v>0</v>
      </c>
      <c r="V8" s="575"/>
      <c r="W8" s="575"/>
      <c r="X8" s="575">
        <f>IF(B8&lt;=7,0,IF(B8&lt;8,B8-7,1))</f>
        <v>0</v>
      </c>
      <c r="Y8" s="575"/>
      <c r="Z8" s="575"/>
      <c r="AA8" s="63"/>
    </row>
    <row r="9" spans="1:45" s="1" customFormat="1" hidden="1">
      <c r="A9" s="71" t="s">
        <v>180</v>
      </c>
      <c r="B9" s="257">
        <f>B8*12</f>
        <v>60</v>
      </c>
      <c r="C9" s="576">
        <f>C8*12</f>
        <v>12</v>
      </c>
      <c r="D9" s="576"/>
      <c r="E9" s="576"/>
      <c r="F9" s="576">
        <f>F8*12</f>
        <v>12</v>
      </c>
      <c r="G9" s="576"/>
      <c r="H9" s="576"/>
      <c r="I9" s="576">
        <f>I8*12</f>
        <v>12</v>
      </c>
      <c r="J9" s="576"/>
      <c r="K9" s="576"/>
      <c r="L9" s="576">
        <f>L8*12</f>
        <v>12</v>
      </c>
      <c r="M9" s="576"/>
      <c r="N9" s="576"/>
      <c r="O9" s="576">
        <f>O8*12</f>
        <v>12</v>
      </c>
      <c r="P9" s="576"/>
      <c r="Q9" s="576"/>
      <c r="R9" s="576">
        <f>R8*12</f>
        <v>0</v>
      </c>
      <c r="S9" s="576"/>
      <c r="T9" s="576"/>
      <c r="U9" s="576">
        <f>U8*12</f>
        <v>0</v>
      </c>
      <c r="V9" s="576"/>
      <c r="W9" s="576"/>
      <c r="X9" s="576">
        <f>X8*12</f>
        <v>0</v>
      </c>
      <c r="Y9" s="576"/>
      <c r="Z9" s="576"/>
      <c r="AA9" s="63"/>
    </row>
    <row r="10" spans="1:45" s="1" customFormat="1" ht="21">
      <c r="A10" s="70"/>
      <c r="B10" s="85"/>
      <c r="C10" s="574" t="s">
        <v>1</v>
      </c>
      <c r="D10" s="574"/>
      <c r="E10" s="574"/>
      <c r="F10" s="574" t="s">
        <v>2</v>
      </c>
      <c r="G10" s="574"/>
      <c r="H10" s="574"/>
      <c r="I10" s="574" t="s">
        <v>3</v>
      </c>
      <c r="J10" s="574"/>
      <c r="K10" s="574"/>
      <c r="L10" s="574" t="s">
        <v>4</v>
      </c>
      <c r="M10" s="574"/>
      <c r="N10" s="574"/>
      <c r="O10" s="574" t="s">
        <v>5</v>
      </c>
      <c r="P10" s="574"/>
      <c r="Q10" s="574"/>
      <c r="R10" s="574" t="s">
        <v>106</v>
      </c>
      <c r="S10" s="574"/>
      <c r="T10" s="574"/>
      <c r="U10" s="574" t="s">
        <v>107</v>
      </c>
      <c r="V10" s="574"/>
      <c r="W10" s="574"/>
      <c r="X10" s="574" t="s">
        <v>108</v>
      </c>
      <c r="Y10" s="574"/>
      <c r="Z10" s="574"/>
      <c r="AA10" s="6" t="s">
        <v>22</v>
      </c>
      <c r="AB10" s="65"/>
    </row>
    <row r="11" spans="1:45" s="1" customFormat="1">
      <c r="A11" s="259" t="s">
        <v>73</v>
      </c>
      <c r="B11" s="444" t="s">
        <v>84</v>
      </c>
      <c r="C11" s="444" t="s">
        <v>74</v>
      </c>
      <c r="D11" s="444" t="s">
        <v>0</v>
      </c>
      <c r="E11" s="444" t="s">
        <v>181</v>
      </c>
      <c r="F11" s="444" t="s">
        <v>74</v>
      </c>
      <c r="G11" s="444" t="s">
        <v>0</v>
      </c>
      <c r="H11" s="444" t="s">
        <v>181</v>
      </c>
      <c r="I11" s="444" t="s">
        <v>74</v>
      </c>
      <c r="J11" s="444" t="s">
        <v>0</v>
      </c>
      <c r="K11" s="444" t="s">
        <v>181</v>
      </c>
      <c r="L11" s="444" t="s">
        <v>74</v>
      </c>
      <c r="M11" s="444" t="s">
        <v>0</v>
      </c>
      <c r="N11" s="444" t="s">
        <v>181</v>
      </c>
      <c r="O11" s="444" t="s">
        <v>74</v>
      </c>
      <c r="P11" s="444" t="s">
        <v>0</v>
      </c>
      <c r="Q11" s="444" t="s">
        <v>181</v>
      </c>
      <c r="R11" s="444" t="s">
        <v>74</v>
      </c>
      <c r="S11" s="444" t="s">
        <v>0</v>
      </c>
      <c r="T11" s="444" t="s">
        <v>181</v>
      </c>
      <c r="U11" s="444" t="s">
        <v>74</v>
      </c>
      <c r="V11" s="444" t="s">
        <v>0</v>
      </c>
      <c r="W11" s="444" t="s">
        <v>181</v>
      </c>
      <c r="X11" s="444" t="s">
        <v>74</v>
      </c>
      <c r="Y11" s="444" t="s">
        <v>0</v>
      </c>
      <c r="Z11" s="444" t="s">
        <v>181</v>
      </c>
      <c r="AA11" s="86"/>
      <c r="AB11" s="63"/>
    </row>
    <row r="12" spans="1:45" s="1" customFormat="1">
      <c r="A12" s="260">
        <f>Budget!A15</f>
        <v>0</v>
      </c>
      <c r="B12" s="261">
        <f>Budget!D15</f>
        <v>0</v>
      </c>
      <c r="C12" s="262">
        <f>Budget!F15</f>
        <v>0</v>
      </c>
      <c r="D12" s="263">
        <f>$C$12*12*C8</f>
        <v>0</v>
      </c>
      <c r="E12" s="264">
        <f>IFERROR(ROUND(MIN(IF(CAP="none",1000000,CAP*D12/$C$9*C$8),B12*D12/$C$9*C$8),0)*(1+B$7)*(1+Budget!C11),"$0.00")+IF(D12&gt;0,-Budget!AG15,"$0.00")</f>
        <v>0</v>
      </c>
      <c r="F12" s="262">
        <f>Budget!I11</f>
        <v>0</v>
      </c>
      <c r="G12" s="263">
        <f>$C$12*12*F8</f>
        <v>0</v>
      </c>
      <c r="H12" s="264">
        <f>IFERROR(ROUND(MIN(IF(CAP="none",1000000,CAP*G12/$F$9*F$8),B12*G12/$F$9*F$8),0)*(1+B$7)^2*(1+Budget!C11),"$0.00")+IF(G12&gt;0,-Budget!AG15,"$0.00")</f>
        <v>0</v>
      </c>
      <c r="I12" s="262">
        <f>Budget!L11</f>
        <v>0</v>
      </c>
      <c r="J12" s="263">
        <f>$C$12*12*I8</f>
        <v>0</v>
      </c>
      <c r="K12" s="264">
        <f>IFERROR(ROUND(MIN(IF(CAP="none",1000000,CAP*J12/$I$9*I$8),B12*J12/$I$9*I$8),0)*(1+B$7)^3*(1+Budget!C11),"$0.00")+IF(J12&gt;0,-Budget!AG15,"$0.00")</f>
        <v>0</v>
      </c>
      <c r="L12" s="262">
        <f>Budget!O11</f>
        <v>0</v>
      </c>
      <c r="M12" s="263">
        <f>$C$12*12*L8</f>
        <v>0</v>
      </c>
      <c r="N12" s="264">
        <f>IFERROR(ROUND(MIN(IF(CAP="none",1000000,CAP*M12/$L$9*L$8),B12*M12/$L$9*L$8),0)*(1+B$7)^4*(1+Budget!C11),"$0.00")+IF(M12&gt;0,-Budget!AG15,"$0.00")</f>
        <v>0</v>
      </c>
      <c r="O12" s="262">
        <f>Budget!R11</f>
        <v>0</v>
      </c>
      <c r="P12" s="263">
        <f>$C$12*12*O8</f>
        <v>0</v>
      </c>
      <c r="Q12" s="264">
        <f>IFERROR(ROUND(MIN(IF(CAP="none",1000000,CAP*P12/$O$9*O$8),B12*P12/$O$9*O$8),0)*(1+B$7)^5*(1+Budget!C11),"$0.00")+IF(P12&gt;0,-Budget!AG15,"$0.00")</f>
        <v>0</v>
      </c>
      <c r="R12" s="262">
        <f>Budget!U11</f>
        <v>0</v>
      </c>
      <c r="S12" s="263">
        <f>$C$12*12*R8</f>
        <v>0</v>
      </c>
      <c r="T12" s="264">
        <f>IFERROR(ROUND(MIN(IF(CAP="none",1000000,CAP*S12/$R$9*R$8),B12*S12/$R$9*R$8),0)*(1+B$7)^6*(1+Budget!C11),"$0.00")+IF(S12&gt;0,-Budget!AG15,"$0.00")</f>
        <v>0</v>
      </c>
      <c r="U12" s="262">
        <f>Budget!X11</f>
        <v>0</v>
      </c>
      <c r="V12" s="263">
        <f>$C$12*12*U8</f>
        <v>0</v>
      </c>
      <c r="W12" s="264">
        <f>IFERROR(ROUND(MIN(IF(CAP="none",1000000,CAP*V12/$U$9*U$8),B12*V12/$U$9*U$8),0)*(1+B$7)^7*(1+Budget!C11),"$0.00")+IF(V12&gt;0,-Budget!AG15,"$0.00")</f>
        <v>0</v>
      </c>
      <c r="X12" s="262">
        <f>Budget!AA11</f>
        <v>0</v>
      </c>
      <c r="Y12" s="263">
        <f>$C$12*12*X8</f>
        <v>0</v>
      </c>
      <c r="Z12" s="264">
        <f>IFERROR(ROUND(MIN(IF(CAP="none",1000000,CAP*Y12/$X$9*X$8),B12*Y12/$X$9*X$8),0)*(1+B$7)^8*(1+Budget!C11),"$0.00")+IF(Y12&gt;0,-Budget!AG15,"$0.00")</f>
        <v>0</v>
      </c>
      <c r="AA12" s="88">
        <f>SUM(E12,H12,K12,N12,Q12,T12,W12,Z12)</f>
        <v>0</v>
      </c>
      <c r="AB12" s="63"/>
    </row>
    <row r="13" spans="1:45" s="1" customFormat="1" ht="15">
      <c r="A13" s="267"/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88"/>
    </row>
    <row r="14" spans="1:45" s="1" customFormat="1" ht="15">
      <c r="A14" s="69"/>
      <c r="B14" s="87"/>
      <c r="C14" s="268" t="s">
        <v>183</v>
      </c>
      <c r="D14" s="269" t="s">
        <v>0</v>
      </c>
      <c r="E14" s="270" t="s">
        <v>184</v>
      </c>
      <c r="F14" s="270"/>
      <c r="G14" s="269" t="s">
        <v>0</v>
      </c>
      <c r="H14" s="270" t="s">
        <v>184</v>
      </c>
      <c r="I14" s="270"/>
      <c r="J14" s="269" t="s">
        <v>0</v>
      </c>
      <c r="K14" s="270" t="s">
        <v>184</v>
      </c>
      <c r="L14" s="270"/>
      <c r="M14" s="269" t="s">
        <v>0</v>
      </c>
      <c r="N14" s="270" t="s">
        <v>184</v>
      </c>
      <c r="O14" s="270"/>
      <c r="P14" s="269" t="s">
        <v>0</v>
      </c>
      <c r="Q14" s="270" t="s">
        <v>184</v>
      </c>
      <c r="R14" s="270"/>
      <c r="S14" s="269" t="s">
        <v>0</v>
      </c>
      <c r="T14" s="270" t="s">
        <v>184</v>
      </c>
      <c r="U14" s="270"/>
      <c r="V14" s="269" t="s">
        <v>0</v>
      </c>
      <c r="W14" s="270" t="s">
        <v>184</v>
      </c>
      <c r="X14" s="270"/>
      <c r="Y14" s="269" t="s">
        <v>0</v>
      </c>
      <c r="Z14" s="270" t="s">
        <v>184</v>
      </c>
      <c r="AA14" s="88"/>
    </row>
    <row r="15" spans="1:45" s="1" customFormat="1" ht="15">
      <c r="A15" s="72" t="s">
        <v>185</v>
      </c>
      <c r="B15" s="74" t="s">
        <v>6</v>
      </c>
      <c r="C15" s="271">
        <v>0</v>
      </c>
      <c r="D15" s="271">
        <v>0</v>
      </c>
      <c r="E15" s="264">
        <f>AD16/AE16*D15*$C15</f>
        <v>0</v>
      </c>
      <c r="F15" s="264"/>
      <c r="G15" s="271">
        <v>0</v>
      </c>
      <c r="H15" s="264">
        <f>AF16/AG16*G15*$C15</f>
        <v>0</v>
      </c>
      <c r="I15" s="264"/>
      <c r="J15" s="271">
        <v>0</v>
      </c>
      <c r="K15" s="264">
        <f>AH16/AI16*J15*$C15</f>
        <v>0</v>
      </c>
      <c r="L15" s="264"/>
      <c r="M15" s="271">
        <v>0</v>
      </c>
      <c r="N15" s="264">
        <f>AJ16/AK16*M15*$C15</f>
        <v>0</v>
      </c>
      <c r="O15" s="264"/>
      <c r="P15" s="271">
        <v>0</v>
      </c>
      <c r="Q15" s="264">
        <f>AL16/AM16*P15*$C15</f>
        <v>0</v>
      </c>
      <c r="R15" s="264"/>
      <c r="S15" s="280">
        <v>0</v>
      </c>
      <c r="T15" s="261">
        <f>AN16/AO16*S15*$C15</f>
        <v>0</v>
      </c>
      <c r="U15" s="264"/>
      <c r="V15" s="280">
        <v>0</v>
      </c>
      <c r="W15" s="261">
        <f>AP16/AQ16*V15*$C15</f>
        <v>0</v>
      </c>
      <c r="X15" s="264"/>
      <c r="Y15" s="280">
        <v>0</v>
      </c>
      <c r="Z15" s="261">
        <f>AR16/AS16*Y15*$C15</f>
        <v>0</v>
      </c>
      <c r="AA15" s="88">
        <f>E15+H15+K15+N15+Q15+T15+W15+Z15</f>
        <v>0</v>
      </c>
      <c r="AC15" s="2" t="s">
        <v>192</v>
      </c>
      <c r="AD15" s="514" t="s">
        <v>1</v>
      </c>
      <c r="AE15" s="514"/>
      <c r="AF15" s="514" t="s">
        <v>2</v>
      </c>
      <c r="AG15" s="514"/>
      <c r="AH15" s="514" t="s">
        <v>3</v>
      </c>
      <c r="AI15" s="514"/>
      <c r="AJ15" s="514" t="s">
        <v>4</v>
      </c>
      <c r="AK15" s="514"/>
      <c r="AL15" s="514" t="s">
        <v>5</v>
      </c>
      <c r="AM15" s="514"/>
      <c r="AN15" s="514" t="s">
        <v>106</v>
      </c>
      <c r="AO15" s="514"/>
      <c r="AP15" s="514" t="s">
        <v>107</v>
      </c>
      <c r="AQ15" s="514"/>
      <c r="AR15" s="514" t="s">
        <v>108</v>
      </c>
      <c r="AS15" s="514"/>
    </row>
    <row r="16" spans="1:45" s="1" customFormat="1" ht="15">
      <c r="A16" s="72"/>
      <c r="B16" s="74" t="s">
        <v>7</v>
      </c>
      <c r="C16" s="271">
        <v>0</v>
      </c>
      <c r="D16" s="271">
        <v>0</v>
      </c>
      <c r="E16" s="264">
        <f>AD17/AE17*D16*$C16</f>
        <v>0</v>
      </c>
      <c r="F16" s="264"/>
      <c r="G16" s="271">
        <v>0</v>
      </c>
      <c r="H16" s="264">
        <f>AF17/AG17*G16*$C16</f>
        <v>0</v>
      </c>
      <c r="I16" s="264"/>
      <c r="J16" s="271">
        <v>0</v>
      </c>
      <c r="K16" s="264">
        <f>AH17/AI17*J16*$C16</f>
        <v>0</v>
      </c>
      <c r="L16" s="264"/>
      <c r="M16" s="271">
        <v>0</v>
      </c>
      <c r="N16" s="264">
        <f>AJ17/AK17*M16*$C16</f>
        <v>0</v>
      </c>
      <c r="O16" s="264"/>
      <c r="P16" s="271">
        <v>0</v>
      </c>
      <c r="Q16" s="264">
        <f>AL17/AM17*P16*$C16</f>
        <v>0</v>
      </c>
      <c r="R16" s="264"/>
      <c r="S16" s="280">
        <v>0</v>
      </c>
      <c r="T16" s="261">
        <f>AN17/AO17*S16*$C16</f>
        <v>0</v>
      </c>
      <c r="U16" s="264"/>
      <c r="V16" s="280">
        <v>0</v>
      </c>
      <c r="W16" s="261">
        <f>AP17/AQ17*V16*$C16</f>
        <v>0</v>
      </c>
      <c r="X16" s="264"/>
      <c r="Y16" s="280">
        <v>0</v>
      </c>
      <c r="Z16" s="261">
        <f>AR17/AS17*Y16*$C16</f>
        <v>0</v>
      </c>
      <c r="AA16" s="88">
        <f t="shared" ref="AA16:AA21" si="0">E16+H16+K16+N16+Q16+T16+W16+Z16</f>
        <v>0</v>
      </c>
      <c r="AC16" s="2" t="s">
        <v>6</v>
      </c>
      <c r="AD16" s="265">
        <v>27000</v>
      </c>
      <c r="AE16" s="266">
        <v>12</v>
      </c>
      <c r="AF16" s="265">
        <f>AD16*1.03</f>
        <v>27810</v>
      </c>
      <c r="AG16" s="266">
        <v>12</v>
      </c>
      <c r="AH16" s="265">
        <f>AF16*1.03</f>
        <v>28644.3</v>
      </c>
      <c r="AI16" s="266">
        <v>12</v>
      </c>
      <c r="AJ16" s="265">
        <f>AH16*1.03</f>
        <v>29503.629000000001</v>
      </c>
      <c r="AK16" s="266">
        <v>12</v>
      </c>
      <c r="AL16" s="265">
        <f>AJ16*1.03</f>
        <v>30388.737870000001</v>
      </c>
      <c r="AM16" s="266">
        <v>12</v>
      </c>
      <c r="AN16" s="265">
        <f>AL16*1.03</f>
        <v>31300.400006100001</v>
      </c>
      <c r="AO16" s="266">
        <v>12</v>
      </c>
      <c r="AP16" s="265">
        <f>AN16*1.03</f>
        <v>32239.412006283001</v>
      </c>
      <c r="AQ16" s="266">
        <v>12</v>
      </c>
      <c r="AR16" s="265">
        <f>AP16*1.03</f>
        <v>33206.594366471494</v>
      </c>
      <c r="AS16" s="266">
        <v>12</v>
      </c>
    </row>
    <row r="17" spans="1:45" s="1" customFormat="1" ht="15">
      <c r="A17" s="72"/>
      <c r="B17" s="76" t="s">
        <v>182</v>
      </c>
      <c r="C17" s="271">
        <v>0</v>
      </c>
      <c r="D17" s="271">
        <v>0</v>
      </c>
      <c r="E17" s="264">
        <f>AD18/AE18*D17*$C17</f>
        <v>0</v>
      </c>
      <c r="F17" s="264"/>
      <c r="G17" s="271">
        <v>0</v>
      </c>
      <c r="H17" s="264">
        <f>AF18/AG18*G17*$C17</f>
        <v>0</v>
      </c>
      <c r="I17" s="264"/>
      <c r="J17" s="271">
        <v>0</v>
      </c>
      <c r="K17" s="264">
        <f>AH18/AI18*J17*$C17</f>
        <v>0</v>
      </c>
      <c r="L17" s="264"/>
      <c r="M17" s="271">
        <v>0</v>
      </c>
      <c r="N17" s="264">
        <f>AJ18/AK18*M17*$C17</f>
        <v>0</v>
      </c>
      <c r="O17" s="264"/>
      <c r="P17" s="271">
        <v>0</v>
      </c>
      <c r="Q17" s="264">
        <f>AL18/AM18*P17*$C17</f>
        <v>0</v>
      </c>
      <c r="R17" s="264"/>
      <c r="S17" s="280">
        <v>0</v>
      </c>
      <c r="T17" s="261">
        <f>AN18/AO18*S17*$C17</f>
        <v>0</v>
      </c>
      <c r="U17" s="264"/>
      <c r="V17" s="280">
        <v>0</v>
      </c>
      <c r="W17" s="261">
        <f>AP18/AQ18*V17*$C17</f>
        <v>0</v>
      </c>
      <c r="X17" s="264"/>
      <c r="Y17" s="280">
        <v>0</v>
      </c>
      <c r="Z17" s="261">
        <f>AR18/AS18*Y17*$C17</f>
        <v>0</v>
      </c>
      <c r="AA17" s="88">
        <f t="shared" si="0"/>
        <v>0</v>
      </c>
      <c r="AC17" s="2" t="s">
        <v>7</v>
      </c>
      <c r="AD17" s="265">
        <v>50000</v>
      </c>
      <c r="AE17" s="2">
        <v>12</v>
      </c>
      <c r="AF17" s="265">
        <f>AD17*1.03</f>
        <v>51500</v>
      </c>
      <c r="AG17" s="2">
        <v>12</v>
      </c>
      <c r="AH17" s="265">
        <f>AF17*1.03</f>
        <v>53045</v>
      </c>
      <c r="AI17" s="2">
        <v>12</v>
      </c>
      <c r="AJ17" s="265">
        <f>AH17*1.03</f>
        <v>54636.35</v>
      </c>
      <c r="AK17" s="2">
        <v>12</v>
      </c>
      <c r="AL17" s="265">
        <f>AJ17*1.03</f>
        <v>56275.440499999997</v>
      </c>
      <c r="AM17" s="266">
        <v>12</v>
      </c>
      <c r="AN17" s="265">
        <f>AL17*1.03</f>
        <v>57963.703714999996</v>
      </c>
      <c r="AO17" s="266">
        <v>12</v>
      </c>
      <c r="AP17" s="265">
        <f>AN17*1.03</f>
        <v>59702.614826450001</v>
      </c>
      <c r="AQ17" s="266">
        <v>12</v>
      </c>
      <c r="AR17" s="265">
        <f>AP17*1.03</f>
        <v>61493.693271243501</v>
      </c>
      <c r="AS17" s="266">
        <v>12</v>
      </c>
    </row>
    <row r="18" spans="1:45" s="1" customFormat="1" ht="15">
      <c r="A18" s="72"/>
      <c r="B18" s="74" t="s">
        <v>9</v>
      </c>
      <c r="C18" s="271">
        <v>0</v>
      </c>
      <c r="D18" s="271">
        <v>0</v>
      </c>
      <c r="E18" s="264">
        <f>AD19/AE19*D18*$C18</f>
        <v>0</v>
      </c>
      <c r="F18" s="264"/>
      <c r="G18" s="271">
        <v>0</v>
      </c>
      <c r="H18" s="264">
        <f>AF19/AG19*G18*$C18</f>
        <v>0</v>
      </c>
      <c r="I18" s="264"/>
      <c r="J18" s="271">
        <v>0</v>
      </c>
      <c r="K18" s="264">
        <f>AH19/AI19*J18*$C18</f>
        <v>0</v>
      </c>
      <c r="L18" s="264"/>
      <c r="M18" s="271">
        <v>0</v>
      </c>
      <c r="N18" s="264">
        <f>AJ19/AK19*M18*$C18</f>
        <v>0</v>
      </c>
      <c r="O18" s="264"/>
      <c r="P18" s="271">
        <v>0</v>
      </c>
      <c r="Q18" s="264">
        <f>AL19/AM19*P18*$C18</f>
        <v>0</v>
      </c>
      <c r="R18" s="264"/>
      <c r="S18" s="280">
        <v>0</v>
      </c>
      <c r="T18" s="261">
        <f>AN19/AO19*S18*$C18</f>
        <v>0</v>
      </c>
      <c r="U18" s="264"/>
      <c r="V18" s="280">
        <v>0</v>
      </c>
      <c r="W18" s="261">
        <f>AP19/AQ19*V18*$C18</f>
        <v>0</v>
      </c>
      <c r="X18" s="264"/>
      <c r="Y18" s="280">
        <v>0</v>
      </c>
      <c r="Z18" s="261">
        <f>AR19/AS19*Y18*$C18</f>
        <v>0</v>
      </c>
      <c r="AA18" s="88">
        <f t="shared" si="0"/>
        <v>0</v>
      </c>
      <c r="AC18" s="2" t="s">
        <v>8</v>
      </c>
      <c r="AD18" s="265">
        <v>8000</v>
      </c>
      <c r="AE18" s="2">
        <v>12</v>
      </c>
      <c r="AF18" s="265">
        <f>AD18*1.03</f>
        <v>8240</v>
      </c>
      <c r="AG18" s="266">
        <v>12</v>
      </c>
      <c r="AH18" s="265">
        <f>AF18*1.03</f>
        <v>8487.2000000000007</v>
      </c>
      <c r="AI18" s="266">
        <v>12</v>
      </c>
      <c r="AJ18" s="265">
        <f>AH18*1.03</f>
        <v>8741.8160000000007</v>
      </c>
      <c r="AK18" s="266">
        <v>12</v>
      </c>
      <c r="AL18" s="265">
        <f>AJ18*1.03</f>
        <v>9004.0704800000003</v>
      </c>
      <c r="AM18" s="266">
        <v>12</v>
      </c>
      <c r="AN18" s="265">
        <f>AL18*1.03</f>
        <v>9274.1925944000013</v>
      </c>
      <c r="AO18" s="266">
        <v>12</v>
      </c>
      <c r="AP18" s="265">
        <f>AN18*1.03</f>
        <v>9552.4183722320013</v>
      </c>
      <c r="AQ18" s="266">
        <v>12</v>
      </c>
      <c r="AR18" s="265">
        <f>AP18*1.03</f>
        <v>9838.990923398962</v>
      </c>
      <c r="AS18" s="266">
        <v>12</v>
      </c>
    </row>
    <row r="19" spans="1:45" s="1" customFormat="1" ht="15">
      <c r="A19" s="72"/>
      <c r="B19" s="74" t="s">
        <v>10</v>
      </c>
      <c r="C19" s="272">
        <v>0</v>
      </c>
      <c r="D19" s="272">
        <v>0</v>
      </c>
      <c r="E19" s="89">
        <f>AD20/AE20*D19*$C19</f>
        <v>0</v>
      </c>
      <c r="F19" s="89"/>
      <c r="G19" s="272">
        <v>0</v>
      </c>
      <c r="H19" s="89">
        <f>AF20/AG20*G19*$C19</f>
        <v>0</v>
      </c>
      <c r="I19" s="89"/>
      <c r="J19" s="272">
        <v>0</v>
      </c>
      <c r="K19" s="89">
        <f>AH20/AI20*J19*$C19</f>
        <v>0</v>
      </c>
      <c r="L19" s="89"/>
      <c r="M19" s="272">
        <v>0</v>
      </c>
      <c r="N19" s="89">
        <f>AJ20/AK20*M19*$C19</f>
        <v>0</v>
      </c>
      <c r="O19" s="89"/>
      <c r="P19" s="272">
        <v>0</v>
      </c>
      <c r="Q19" s="89">
        <f>AL20/AM20*P19*$C19</f>
        <v>0</v>
      </c>
      <c r="R19" s="89"/>
      <c r="S19" s="281">
        <v>0</v>
      </c>
      <c r="T19" s="282">
        <f>AN20/AO20*S19*$C19</f>
        <v>0</v>
      </c>
      <c r="U19" s="89"/>
      <c r="V19" s="281">
        <v>0</v>
      </c>
      <c r="W19" s="282">
        <f>AP20/AQ20*V19*$C19</f>
        <v>0</v>
      </c>
      <c r="X19" s="89"/>
      <c r="Y19" s="281">
        <v>0</v>
      </c>
      <c r="Z19" s="282">
        <f>AR20/AS20*Y19*$C19</f>
        <v>0</v>
      </c>
      <c r="AA19" s="88">
        <f t="shared" si="0"/>
        <v>0</v>
      </c>
      <c r="AC19" s="2" t="s">
        <v>9</v>
      </c>
      <c r="AD19" s="265">
        <v>10000</v>
      </c>
      <c r="AE19" s="2">
        <v>12</v>
      </c>
      <c r="AF19" s="265">
        <f>AD19*1.03</f>
        <v>10300</v>
      </c>
      <c r="AG19" s="2">
        <v>12</v>
      </c>
      <c r="AH19" s="265">
        <f>AF19*1.03</f>
        <v>10609</v>
      </c>
      <c r="AI19" s="2">
        <v>12</v>
      </c>
      <c r="AJ19" s="265">
        <f>AH19*1.03</f>
        <v>10927.27</v>
      </c>
      <c r="AK19" s="2">
        <v>12</v>
      </c>
      <c r="AL19" s="265">
        <f>AJ19*1.03</f>
        <v>11255.088100000001</v>
      </c>
      <c r="AM19" s="266">
        <v>12</v>
      </c>
      <c r="AN19" s="265">
        <f>AL19*1.03</f>
        <v>11592.740743</v>
      </c>
      <c r="AO19" s="266">
        <v>12</v>
      </c>
      <c r="AP19" s="265">
        <f>AN19*1.03</f>
        <v>11940.52296529</v>
      </c>
      <c r="AQ19" s="266">
        <v>12</v>
      </c>
      <c r="AR19" s="265">
        <f>AP19*1.03</f>
        <v>12298.7386542487</v>
      </c>
      <c r="AS19" s="266">
        <v>12</v>
      </c>
    </row>
    <row r="20" spans="1:45" s="1" customFormat="1" ht="15">
      <c r="A20" s="72"/>
      <c r="B20" s="273"/>
      <c r="C20" s="283"/>
      <c r="D20" s="274"/>
      <c r="E20" s="90"/>
      <c r="F20" s="90"/>
      <c r="G20" s="274"/>
      <c r="H20" s="90"/>
      <c r="I20" s="90"/>
      <c r="J20" s="274" t="s">
        <v>186</v>
      </c>
      <c r="K20" s="90"/>
      <c r="L20" s="90"/>
      <c r="M20" s="274"/>
      <c r="N20" s="90"/>
      <c r="O20" s="90"/>
      <c r="P20" s="274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88"/>
      <c r="AC20" s="2" t="s">
        <v>10</v>
      </c>
      <c r="AD20" s="265">
        <v>10000</v>
      </c>
      <c r="AE20" s="2">
        <v>12</v>
      </c>
      <c r="AF20" s="265">
        <f>AD20*1.03</f>
        <v>10300</v>
      </c>
      <c r="AG20" s="266">
        <v>12</v>
      </c>
      <c r="AH20" s="265">
        <f>AF20*1.03</f>
        <v>10609</v>
      </c>
      <c r="AI20" s="266">
        <v>12</v>
      </c>
      <c r="AJ20" s="265">
        <f>AH20*1.03</f>
        <v>10927.27</v>
      </c>
      <c r="AK20" s="266">
        <v>12</v>
      </c>
      <c r="AL20" s="265">
        <f>AJ20*1.03</f>
        <v>11255.088100000001</v>
      </c>
      <c r="AM20" s="266">
        <v>12</v>
      </c>
      <c r="AN20" s="265">
        <f>AL20*1.03</f>
        <v>11592.740743</v>
      </c>
      <c r="AO20" s="266">
        <v>12</v>
      </c>
      <c r="AP20" s="265">
        <f>AN20*1.03</f>
        <v>11940.52296529</v>
      </c>
      <c r="AQ20" s="266">
        <v>12</v>
      </c>
      <c r="AR20" s="265">
        <f>AP20*1.03</f>
        <v>12298.7386542487</v>
      </c>
      <c r="AS20" s="266">
        <v>12</v>
      </c>
    </row>
    <row r="21" spans="1:45" s="1" customFormat="1" ht="15">
      <c r="A21" s="72"/>
      <c r="B21" s="74"/>
      <c r="C21" s="275" t="s">
        <v>187</v>
      </c>
      <c r="D21" s="69"/>
      <c r="E21" s="91">
        <f>SUM(E15:E19)</f>
        <v>0</v>
      </c>
      <c r="F21" s="91"/>
      <c r="G21" s="69"/>
      <c r="H21" s="91">
        <f>SUM(H15:H19)</f>
        <v>0</v>
      </c>
      <c r="I21" s="91"/>
      <c r="J21" s="69"/>
      <c r="K21" s="91">
        <f>SUM(K15:K19)</f>
        <v>0</v>
      </c>
      <c r="L21" s="91"/>
      <c r="M21" s="69"/>
      <c r="N21" s="91">
        <f>SUM(N15:N19)</f>
        <v>0</v>
      </c>
      <c r="O21" s="91"/>
      <c r="P21" s="69"/>
      <c r="Q21" s="91">
        <f>SUM(Q15:Q19)</f>
        <v>0</v>
      </c>
      <c r="R21" s="91"/>
      <c r="S21" s="91"/>
      <c r="T21" s="91">
        <f t="shared" ref="T21:Z21" si="1">SUM(T15:T19)</f>
        <v>0</v>
      </c>
      <c r="U21" s="91"/>
      <c r="V21" s="91"/>
      <c r="W21" s="91">
        <f t="shared" si="1"/>
        <v>0</v>
      </c>
      <c r="X21" s="91"/>
      <c r="Y21" s="91"/>
      <c r="Z21" s="91">
        <f t="shared" si="1"/>
        <v>0</v>
      </c>
      <c r="AA21" s="88">
        <f t="shared" si="0"/>
        <v>0</v>
      </c>
    </row>
    <row r="22" spans="1:45" s="1" customFormat="1" ht="15">
      <c r="A22" s="72"/>
      <c r="B22" s="74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8"/>
    </row>
    <row r="23" spans="1:45" s="1" customFormat="1" ht="15">
      <c r="A23" s="72"/>
      <c r="B23" s="74"/>
      <c r="C23" s="275" t="s">
        <v>188</v>
      </c>
      <c r="D23" s="69"/>
      <c r="E23" s="91">
        <f>E12+E21</f>
        <v>0</v>
      </c>
      <c r="F23" s="91"/>
      <c r="G23" s="91"/>
      <c r="H23" s="91">
        <f>H12+H21</f>
        <v>0</v>
      </c>
      <c r="I23" s="91"/>
      <c r="J23" s="91"/>
      <c r="K23" s="91">
        <f>K12+K21</f>
        <v>0</v>
      </c>
      <c r="L23" s="91"/>
      <c r="M23" s="91"/>
      <c r="N23" s="91">
        <f>N12+N21</f>
        <v>0</v>
      </c>
      <c r="O23" s="91"/>
      <c r="P23" s="91"/>
      <c r="Q23" s="91">
        <f>Q12+Q21</f>
        <v>0</v>
      </c>
      <c r="R23" s="91"/>
      <c r="S23" s="91"/>
      <c r="T23" s="91">
        <f>T12+T21</f>
        <v>0</v>
      </c>
      <c r="U23" s="91"/>
      <c r="V23" s="91"/>
      <c r="W23" s="91">
        <f>W12+W21</f>
        <v>0</v>
      </c>
      <c r="X23" s="91"/>
      <c r="Y23" s="91"/>
      <c r="Z23" s="91">
        <f>Z12+Z21</f>
        <v>0</v>
      </c>
      <c r="AA23" s="88">
        <f>E23+H23+K23+N23+Q23+T23+W23+Z23</f>
        <v>0</v>
      </c>
    </row>
    <row r="24" spans="1:45" s="1" customFormat="1" ht="15">
      <c r="A24" s="72"/>
      <c r="B24" s="74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8"/>
    </row>
    <row r="25" spans="1:45" s="1" customFormat="1" ht="15">
      <c r="A25" s="72"/>
      <c r="B25" s="74"/>
      <c r="C25" s="268" t="s">
        <v>12</v>
      </c>
      <c r="D25" s="87"/>
      <c r="E25" s="258" t="s">
        <v>189</v>
      </c>
      <c r="F25" s="258"/>
      <c r="G25" s="87"/>
      <c r="H25" s="258" t="s">
        <v>189</v>
      </c>
      <c r="I25" s="258"/>
      <c r="J25" s="87"/>
      <c r="K25" s="258" t="s">
        <v>189</v>
      </c>
      <c r="L25" s="258"/>
      <c r="M25" s="87"/>
      <c r="N25" s="258" t="s">
        <v>189</v>
      </c>
      <c r="O25" s="258"/>
      <c r="P25" s="87"/>
      <c r="Q25" s="258" t="s">
        <v>189</v>
      </c>
      <c r="R25" s="258"/>
      <c r="S25" s="258"/>
      <c r="T25" s="258" t="s">
        <v>189</v>
      </c>
      <c r="U25" s="258"/>
      <c r="V25" s="258"/>
      <c r="W25" s="258" t="s">
        <v>189</v>
      </c>
      <c r="X25" s="258"/>
      <c r="Y25" s="258"/>
      <c r="Z25" s="258" t="s">
        <v>189</v>
      </c>
      <c r="AA25" s="276"/>
    </row>
    <row r="26" spans="1:45" s="1" customFormat="1" ht="15">
      <c r="A26" s="277" t="s">
        <v>205</v>
      </c>
      <c r="B26" s="74" t="s">
        <v>11</v>
      </c>
      <c r="C26" s="278">
        <f>'Effort and OPS Salary'!C28</f>
        <v>0</v>
      </c>
      <c r="D26" s="87"/>
      <c r="E26" s="96" t="str">
        <f>IFERROR(ROUND(MIN(IF(CAP="none",1000000,CAP*D12/$C$9*C$8),B12*D12/$C$9*C$8),0)*(1+B$7)*Budget!C11,"$0")</f>
        <v>$0</v>
      </c>
      <c r="F26" s="96"/>
      <c r="G26" s="96"/>
      <c r="H26" s="96" t="str">
        <f>IFERROR(ROUND(MIN(IF(CAP="none",1000000,CAP*G12/$F$9*F$8),B12*G12/$F$9*F$8),0)*(1+B$7)^2*Budget!C11,"$0")</f>
        <v>$0</v>
      </c>
      <c r="I26" s="96"/>
      <c r="J26" s="96"/>
      <c r="K26" s="96" t="str">
        <f>IFERROR(ROUND(MIN(IF(CAP="none",1000000,CAP*J12/$I$9*I$8),B12*J12/$I$9*I$8),0)*(1+B$7)^3*Budget!C11,"$0")</f>
        <v>$0</v>
      </c>
      <c r="L26" s="96"/>
      <c r="M26" s="96"/>
      <c r="N26" s="452" t="str">
        <f>IFERROR(ROUND(MIN(IF(CAP="none",1000000,CAP*M12/$L$9*L$8),B12*M12/$L$9*L$8),0)*(1+B$7)^4*Budget!C11,"$0")</f>
        <v>$0</v>
      </c>
      <c r="O26" s="96"/>
      <c r="P26" s="96"/>
      <c r="Q26" s="96" t="str">
        <f>IFERROR(ROUND(MIN(IF(CAP="none",1000000,CAP*P12/$O$9*O$8),B12*P12/$O$9*O$8),0)*(1+B$7)^5*Budget!C11,"$0")</f>
        <v>$0</v>
      </c>
      <c r="R26" s="96"/>
      <c r="S26" s="96"/>
      <c r="T26" s="96" t="str">
        <f>IFERROR(ROUND(MIN(IF(CAP="none",1000000,CAP*S12/$R$9*R$8),B12*S12/$R$9*R$8),0)*(1+B$7)^6*Budget!C11,"$0")</f>
        <v>$0</v>
      </c>
      <c r="U26" s="96"/>
      <c r="V26" s="96"/>
      <c r="W26" s="96" t="str">
        <f>IFERROR(ROUND(MIN(IF(CAP="none",1000000,CAP*V12/$U$9*U$8),B12*V12/$U$9*U$8),0)*(1+B$7)^7*Budget!C11,"$0")</f>
        <v>$0</v>
      </c>
      <c r="X26" s="96"/>
      <c r="Y26" s="96"/>
      <c r="Z26" s="96" t="str">
        <f>IFERROR(ROUND(MIN(IF(CAP="none",1000000,CAP*Y12/$X$9*X$8),B12*Y12/$X$9*X$8),0)*(1+B$7)^8*Budget!C11,"$0")</f>
        <v>$0</v>
      </c>
      <c r="AA26" s="88">
        <f>E26+H26+K26+N26+Q26+T26+W26+Z26</f>
        <v>0</v>
      </c>
    </row>
    <row r="27" spans="1:45" s="1" customFormat="1" ht="15">
      <c r="A27" s="72"/>
      <c r="B27" s="74" t="s">
        <v>6</v>
      </c>
      <c r="C27" s="278">
        <f>'Effort and OPS Salary'!C34</f>
        <v>0</v>
      </c>
      <c r="D27" s="87"/>
      <c r="E27" s="96">
        <f>E15*$C27</f>
        <v>0</v>
      </c>
      <c r="F27" s="96"/>
      <c r="G27" s="96"/>
      <c r="H27" s="96">
        <f>H15*$C27</f>
        <v>0</v>
      </c>
      <c r="I27" s="96"/>
      <c r="J27" s="96"/>
      <c r="K27" s="96">
        <f>K15*$C27</f>
        <v>0</v>
      </c>
      <c r="L27" s="96"/>
      <c r="M27" s="96"/>
      <c r="N27" s="96">
        <f>N15*$C27</f>
        <v>0</v>
      </c>
      <c r="O27" s="96"/>
      <c r="P27" s="96"/>
      <c r="Q27" s="96">
        <f>Q15*$C27</f>
        <v>0</v>
      </c>
      <c r="R27" s="264"/>
      <c r="S27" s="264"/>
      <c r="T27" s="264">
        <f>T15*$C27</f>
        <v>0</v>
      </c>
      <c r="U27" s="264"/>
      <c r="V27" s="264"/>
      <c r="W27" s="264">
        <f>W15*$C27</f>
        <v>0</v>
      </c>
      <c r="X27" s="264"/>
      <c r="Y27" s="264"/>
      <c r="Z27" s="264">
        <f>Z15*$C27</f>
        <v>0</v>
      </c>
      <c r="AA27" s="88">
        <f t="shared" ref="AA27:AA32" si="2">E27+H27+K27+N27+Q27+T27+W27+Z27</f>
        <v>0</v>
      </c>
    </row>
    <row r="28" spans="1:45" s="1" customFormat="1" ht="15">
      <c r="A28" s="72"/>
      <c r="B28" s="74" t="s">
        <v>7</v>
      </c>
      <c r="C28" s="278">
        <f>'Effort and OPS Salary'!C33</f>
        <v>0</v>
      </c>
      <c r="D28" s="87"/>
      <c r="E28" s="96">
        <f>E16*$C28</f>
        <v>0</v>
      </c>
      <c r="F28" s="96"/>
      <c r="G28" s="96"/>
      <c r="H28" s="96">
        <f>H16*$C28</f>
        <v>0</v>
      </c>
      <c r="I28" s="96"/>
      <c r="J28" s="96"/>
      <c r="K28" s="96">
        <f>K16*$C28</f>
        <v>0</v>
      </c>
      <c r="L28" s="96"/>
      <c r="M28" s="96"/>
      <c r="N28" s="96">
        <f>N16*$C28</f>
        <v>0</v>
      </c>
      <c r="O28" s="96"/>
      <c r="P28" s="96"/>
      <c r="Q28" s="96">
        <f>Q16*$C28</f>
        <v>0</v>
      </c>
      <c r="R28" s="264"/>
      <c r="S28" s="264"/>
      <c r="T28" s="264">
        <f>T16*$C28</f>
        <v>0</v>
      </c>
      <c r="U28" s="264"/>
      <c r="V28" s="264"/>
      <c r="W28" s="264">
        <f>W16*$C28</f>
        <v>0</v>
      </c>
      <c r="X28" s="264"/>
      <c r="Y28" s="264"/>
      <c r="Z28" s="264">
        <f>Z16*$C28</f>
        <v>0</v>
      </c>
      <c r="AA28" s="88">
        <f t="shared" si="2"/>
        <v>0</v>
      </c>
    </row>
    <row r="29" spans="1:45" s="1" customFormat="1" ht="15">
      <c r="A29" s="72"/>
      <c r="B29" s="74" t="s">
        <v>182</v>
      </c>
      <c r="C29" s="278">
        <f>'Effort and OPS Salary'!C36</f>
        <v>0</v>
      </c>
      <c r="D29" s="87"/>
      <c r="E29" s="96">
        <f>E17*$C29</f>
        <v>0</v>
      </c>
      <c r="F29" s="96"/>
      <c r="G29" s="96"/>
      <c r="H29" s="96">
        <f>H17*$C29</f>
        <v>0</v>
      </c>
      <c r="I29" s="96"/>
      <c r="J29" s="96"/>
      <c r="K29" s="96">
        <f>K17*$C29</f>
        <v>0</v>
      </c>
      <c r="L29" s="96"/>
      <c r="M29" s="96"/>
      <c r="N29" s="96">
        <f>N17*$C29</f>
        <v>0</v>
      </c>
      <c r="O29" s="96"/>
      <c r="P29" s="96"/>
      <c r="Q29" s="96">
        <f>Q17*$C29</f>
        <v>0</v>
      </c>
      <c r="R29" s="264"/>
      <c r="S29" s="264"/>
      <c r="T29" s="264">
        <f>T17*$C29</f>
        <v>0</v>
      </c>
      <c r="U29" s="264"/>
      <c r="V29" s="264"/>
      <c r="W29" s="264">
        <f>W17*$C29</f>
        <v>0</v>
      </c>
      <c r="X29" s="264"/>
      <c r="Y29" s="264"/>
      <c r="Z29" s="264">
        <f>Z17*$C29</f>
        <v>0</v>
      </c>
      <c r="AA29" s="88">
        <f t="shared" si="2"/>
        <v>0</v>
      </c>
    </row>
    <row r="30" spans="1:45" s="1" customFormat="1" ht="15">
      <c r="A30" s="72"/>
      <c r="B30" s="74" t="s">
        <v>9</v>
      </c>
      <c r="C30" s="278">
        <f>'Effort and OPS Salary'!C30</f>
        <v>0</v>
      </c>
      <c r="D30" s="87"/>
      <c r="E30" s="96">
        <f>E18*$C30</f>
        <v>0</v>
      </c>
      <c r="F30" s="96"/>
      <c r="G30" s="96"/>
      <c r="H30" s="96">
        <f>H18*$C30</f>
        <v>0</v>
      </c>
      <c r="I30" s="96"/>
      <c r="J30" s="96"/>
      <c r="K30" s="96">
        <f>K18*$C30</f>
        <v>0</v>
      </c>
      <c r="L30" s="96"/>
      <c r="M30" s="96"/>
      <c r="N30" s="96">
        <f>N18*$C30</f>
        <v>0</v>
      </c>
      <c r="O30" s="96"/>
      <c r="P30" s="96"/>
      <c r="Q30" s="96">
        <f>Q18*$C30</f>
        <v>0</v>
      </c>
      <c r="R30" s="264"/>
      <c r="S30" s="264"/>
      <c r="T30" s="264">
        <f>T18*$C30</f>
        <v>0</v>
      </c>
      <c r="U30" s="264"/>
      <c r="V30" s="264"/>
      <c r="W30" s="264">
        <f>W18*$C30</f>
        <v>0</v>
      </c>
      <c r="X30" s="264"/>
      <c r="Y30" s="264"/>
      <c r="Z30" s="264">
        <f>Z18*$C30</f>
        <v>0</v>
      </c>
      <c r="AA30" s="88">
        <f t="shared" si="2"/>
        <v>0</v>
      </c>
    </row>
    <row r="31" spans="1:45" s="1" customFormat="1" ht="15">
      <c r="A31" s="72"/>
      <c r="B31" s="74" t="s">
        <v>10</v>
      </c>
      <c r="C31" s="278">
        <f>'Effort and OPS Salary'!C31</f>
        <v>0</v>
      </c>
      <c r="D31" s="87"/>
      <c r="E31" s="97">
        <f>E19*$C31</f>
        <v>0</v>
      </c>
      <c r="F31" s="97"/>
      <c r="G31" s="97"/>
      <c r="H31" s="97">
        <f>H19*$C31</f>
        <v>0</v>
      </c>
      <c r="I31" s="97"/>
      <c r="J31" s="97"/>
      <c r="K31" s="97">
        <f>K19*$C31</f>
        <v>0</v>
      </c>
      <c r="L31" s="97"/>
      <c r="M31" s="97"/>
      <c r="N31" s="97">
        <f>N19*$C31</f>
        <v>0</v>
      </c>
      <c r="O31" s="97"/>
      <c r="P31" s="97"/>
      <c r="Q31" s="97">
        <f>Q19*$C31</f>
        <v>0</v>
      </c>
      <c r="R31" s="89"/>
      <c r="S31" s="89"/>
      <c r="T31" s="89">
        <f>T19*$C31</f>
        <v>0</v>
      </c>
      <c r="U31" s="89"/>
      <c r="V31" s="89"/>
      <c r="W31" s="89">
        <f>W19*$C31</f>
        <v>0</v>
      </c>
      <c r="X31" s="89"/>
      <c r="Y31" s="89"/>
      <c r="Z31" s="89">
        <f>Z19*$C31</f>
        <v>0</v>
      </c>
      <c r="AA31" s="88">
        <f t="shared" si="2"/>
        <v>0</v>
      </c>
    </row>
    <row r="32" spans="1:45" s="1" customFormat="1" ht="15">
      <c r="A32" s="72"/>
      <c r="B32" s="74"/>
      <c r="C32" s="275" t="s">
        <v>190</v>
      </c>
      <c r="D32" s="87"/>
      <c r="E32" s="91">
        <f>SUM(E26:E31)</f>
        <v>0</v>
      </c>
      <c r="F32" s="91"/>
      <c r="G32" s="69"/>
      <c r="H32" s="91">
        <f>SUM(H26:H31)</f>
        <v>0</v>
      </c>
      <c r="I32" s="91"/>
      <c r="J32" s="69"/>
      <c r="K32" s="91">
        <f>SUM(K26:K31)</f>
        <v>0</v>
      </c>
      <c r="L32" s="91"/>
      <c r="M32" s="69"/>
      <c r="N32" s="91">
        <f>SUM(N26:N31)</f>
        <v>0</v>
      </c>
      <c r="O32" s="91"/>
      <c r="P32" s="69"/>
      <c r="Q32" s="91">
        <f>SUM(Q26:Q31)</f>
        <v>0</v>
      </c>
      <c r="R32" s="91"/>
      <c r="S32" s="91"/>
      <c r="T32" s="91">
        <f t="shared" ref="T32:Z32" si="3">SUM(T26:T31)</f>
        <v>0</v>
      </c>
      <c r="U32" s="91"/>
      <c r="V32" s="91"/>
      <c r="W32" s="91">
        <f t="shared" si="3"/>
        <v>0</v>
      </c>
      <c r="X32" s="91"/>
      <c r="Y32" s="91"/>
      <c r="Z32" s="91">
        <f t="shared" si="3"/>
        <v>0</v>
      </c>
      <c r="AA32" s="450">
        <f t="shared" si="2"/>
        <v>0</v>
      </c>
    </row>
    <row r="33" spans="1:28" s="1" customFormat="1" ht="15">
      <c r="A33" s="72"/>
      <c r="B33" s="74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8"/>
    </row>
    <row r="34" spans="1:28" s="1" customFormat="1" ht="15">
      <c r="A34" s="72"/>
      <c r="B34" s="74"/>
      <c r="C34" s="92" t="s">
        <v>191</v>
      </c>
      <c r="D34" s="93"/>
      <c r="E34" s="94">
        <f>E23+E32</f>
        <v>0</v>
      </c>
      <c r="F34" s="94"/>
      <c r="G34" s="94"/>
      <c r="H34" s="94">
        <f>H23+H32</f>
        <v>0</v>
      </c>
      <c r="I34" s="94"/>
      <c r="J34" s="93"/>
      <c r="K34" s="94">
        <f>K23+K32</f>
        <v>0</v>
      </c>
      <c r="L34" s="94"/>
      <c r="M34" s="94"/>
      <c r="N34" s="94">
        <f>N23+N32</f>
        <v>0</v>
      </c>
      <c r="O34" s="94"/>
      <c r="P34" s="94"/>
      <c r="Q34" s="94">
        <f>Q23+Q32</f>
        <v>0</v>
      </c>
      <c r="R34" s="94"/>
      <c r="S34" s="94"/>
      <c r="T34" s="94">
        <f>T23+T32</f>
        <v>0</v>
      </c>
      <c r="U34" s="94"/>
      <c r="V34" s="94"/>
      <c r="W34" s="94">
        <f>W23+W32</f>
        <v>0</v>
      </c>
      <c r="X34" s="94"/>
      <c r="Y34" s="94"/>
      <c r="Z34" s="94">
        <f>Z23+Z32</f>
        <v>0</v>
      </c>
      <c r="AA34" s="88">
        <f>E34+H34+K34+N34+Q34+T34+W34+Z34</f>
        <v>0</v>
      </c>
    </row>
    <row r="35" spans="1:28" s="1" customFormat="1" ht="15">
      <c r="A35" s="72"/>
      <c r="B35" s="74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8"/>
    </row>
    <row r="36" spans="1:28" s="1" customFormat="1" ht="15">
      <c r="A36" s="72"/>
      <c r="B36" s="74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95"/>
    </row>
    <row r="37" spans="1:28" s="1" customFormat="1" ht="15">
      <c r="A37" s="72" t="s">
        <v>25</v>
      </c>
      <c r="B37" s="72"/>
      <c r="C37" s="74" t="str">
        <f>IF(Budget!F36&lt;&gt;"",Budget!F36,"")</f>
        <v>Materials &amp; Supplies</v>
      </c>
      <c r="D37" s="87"/>
      <c r="E37" s="96">
        <v>0</v>
      </c>
      <c r="F37" s="96"/>
      <c r="G37" s="96"/>
      <c r="H37" s="96">
        <v>0</v>
      </c>
      <c r="I37" s="96"/>
      <c r="J37" s="96"/>
      <c r="K37" s="96">
        <v>0</v>
      </c>
      <c r="L37" s="96"/>
      <c r="M37" s="96"/>
      <c r="N37" s="96">
        <v>0</v>
      </c>
      <c r="O37" s="96"/>
      <c r="P37" s="96"/>
      <c r="Q37" s="96">
        <v>0</v>
      </c>
      <c r="R37" s="96"/>
      <c r="S37" s="96"/>
      <c r="T37" s="96">
        <v>0</v>
      </c>
      <c r="U37" s="96"/>
      <c r="V37" s="96"/>
      <c r="W37" s="96">
        <v>0</v>
      </c>
      <c r="X37" s="96"/>
      <c r="Y37" s="96"/>
      <c r="Z37" s="96">
        <v>0</v>
      </c>
      <c r="AA37" s="88">
        <f>E37+H37+K37+N37+Q37+T37+W37+Z37</f>
        <v>0</v>
      </c>
    </row>
    <row r="38" spans="1:28" s="1" customFormat="1" ht="15">
      <c r="A38" s="72"/>
      <c r="B38" s="72"/>
      <c r="C38" s="74" t="str">
        <f>IF(Budget!F37&lt;&gt;"",Budget!F37,"")</f>
        <v>Other Expenses</v>
      </c>
      <c r="D38" s="87"/>
      <c r="E38" s="96">
        <v>0</v>
      </c>
      <c r="F38" s="96"/>
      <c r="G38" s="96"/>
      <c r="H38" s="96">
        <v>0</v>
      </c>
      <c r="I38" s="96"/>
      <c r="J38" s="96"/>
      <c r="K38" s="96">
        <v>0</v>
      </c>
      <c r="L38" s="96"/>
      <c r="M38" s="96"/>
      <c r="N38" s="96">
        <v>0</v>
      </c>
      <c r="O38" s="96"/>
      <c r="P38" s="96"/>
      <c r="Q38" s="96">
        <v>0</v>
      </c>
      <c r="R38" s="96"/>
      <c r="S38" s="96"/>
      <c r="T38" s="96">
        <v>0</v>
      </c>
      <c r="U38" s="96"/>
      <c r="V38" s="96"/>
      <c r="W38" s="96">
        <v>0</v>
      </c>
      <c r="X38" s="96"/>
      <c r="Y38" s="96"/>
      <c r="Z38" s="96">
        <v>0</v>
      </c>
      <c r="AA38" s="88">
        <f t="shared" ref="AA38:AA47" si="4">E38+H38+K38+N38+Q38+T38+W38+Z38</f>
        <v>0</v>
      </c>
    </row>
    <row r="39" spans="1:28" s="1" customFormat="1" ht="15">
      <c r="A39" s="72"/>
      <c r="B39" s="72"/>
      <c r="C39" s="74" t="str">
        <f>IF(Budget!F38&lt;&gt;"",Budget!F38,"")</f>
        <v>Domestic Travel</v>
      </c>
      <c r="D39" s="87"/>
      <c r="E39" s="96">
        <v>0</v>
      </c>
      <c r="F39" s="96"/>
      <c r="G39" s="96"/>
      <c r="H39" s="96">
        <v>0</v>
      </c>
      <c r="I39" s="96"/>
      <c r="J39" s="96"/>
      <c r="K39" s="96">
        <v>0</v>
      </c>
      <c r="L39" s="96"/>
      <c r="M39" s="96"/>
      <c r="N39" s="96">
        <v>0</v>
      </c>
      <c r="O39" s="96"/>
      <c r="P39" s="96"/>
      <c r="Q39" s="96">
        <v>0</v>
      </c>
      <c r="R39" s="96"/>
      <c r="S39" s="96"/>
      <c r="T39" s="96">
        <v>0</v>
      </c>
      <c r="U39" s="96"/>
      <c r="V39" s="96"/>
      <c r="W39" s="96">
        <v>0</v>
      </c>
      <c r="X39" s="96"/>
      <c r="Y39" s="96"/>
      <c r="Z39" s="96">
        <v>0</v>
      </c>
      <c r="AA39" s="88">
        <f t="shared" si="4"/>
        <v>0</v>
      </c>
    </row>
    <row r="40" spans="1:28" s="1" customFormat="1" ht="15">
      <c r="A40" s="72"/>
      <c r="B40" s="72"/>
      <c r="C40" s="74" t="str">
        <f>IF(Budget!F39&lt;&gt;"",Budget!F39,"")</f>
        <v>Publication Costs</v>
      </c>
      <c r="D40" s="87"/>
      <c r="E40" s="96">
        <v>0</v>
      </c>
      <c r="F40" s="96"/>
      <c r="G40" s="96"/>
      <c r="H40" s="96">
        <v>0</v>
      </c>
      <c r="I40" s="96"/>
      <c r="J40" s="96"/>
      <c r="K40" s="96">
        <v>0</v>
      </c>
      <c r="L40" s="96"/>
      <c r="M40" s="96"/>
      <c r="N40" s="96">
        <v>0</v>
      </c>
      <c r="O40" s="96"/>
      <c r="P40" s="96"/>
      <c r="Q40" s="96">
        <v>0</v>
      </c>
      <c r="R40" s="96"/>
      <c r="S40" s="96"/>
      <c r="T40" s="96">
        <v>0</v>
      </c>
      <c r="U40" s="96"/>
      <c r="V40" s="96"/>
      <c r="W40" s="96">
        <v>0</v>
      </c>
      <c r="X40" s="96"/>
      <c r="Y40" s="96"/>
      <c r="Z40" s="96">
        <v>0</v>
      </c>
      <c r="AA40" s="88">
        <f t="shared" si="4"/>
        <v>0</v>
      </c>
    </row>
    <row r="41" spans="1:28" s="1" customFormat="1" ht="15">
      <c r="A41" s="72"/>
      <c r="B41" s="72"/>
      <c r="C41" s="74" t="str">
        <f>IF(Budget!F40&lt;&gt;"",Budget!F40,"")</f>
        <v>Animal</v>
      </c>
      <c r="D41" s="87"/>
      <c r="E41" s="96">
        <v>0</v>
      </c>
      <c r="F41" s="96"/>
      <c r="G41" s="96"/>
      <c r="H41" s="96">
        <v>0</v>
      </c>
      <c r="I41" s="96"/>
      <c r="J41" s="96"/>
      <c r="K41" s="96">
        <v>0</v>
      </c>
      <c r="L41" s="96"/>
      <c r="M41" s="96"/>
      <c r="N41" s="96">
        <v>0</v>
      </c>
      <c r="O41" s="96"/>
      <c r="P41" s="96"/>
      <c r="Q41" s="96">
        <v>0</v>
      </c>
      <c r="R41" s="96"/>
      <c r="S41" s="96"/>
      <c r="T41" s="96">
        <v>0</v>
      </c>
      <c r="U41" s="96"/>
      <c r="V41" s="96"/>
      <c r="W41" s="96">
        <v>0</v>
      </c>
      <c r="X41" s="96"/>
      <c r="Y41" s="96"/>
      <c r="Z41" s="96">
        <v>0</v>
      </c>
      <c r="AA41" s="88">
        <f t="shared" si="4"/>
        <v>0</v>
      </c>
    </row>
    <row r="42" spans="1:28" s="1" customFormat="1" ht="15" hidden="1" outlineLevel="1">
      <c r="A42" s="72"/>
      <c r="B42" s="72"/>
      <c r="C42" s="74" t="str">
        <f>IF(Budget!F41&lt;&gt;"",Budget!F41,"")</f>
        <v/>
      </c>
      <c r="D42" s="87"/>
      <c r="E42" s="96">
        <v>0</v>
      </c>
      <c r="F42" s="96"/>
      <c r="G42" s="96"/>
      <c r="H42" s="96">
        <v>0</v>
      </c>
      <c r="I42" s="96"/>
      <c r="J42" s="96"/>
      <c r="K42" s="96">
        <v>0</v>
      </c>
      <c r="L42" s="96"/>
      <c r="M42" s="96"/>
      <c r="N42" s="96">
        <v>0</v>
      </c>
      <c r="O42" s="96"/>
      <c r="P42" s="96"/>
      <c r="Q42" s="96">
        <v>0</v>
      </c>
      <c r="R42" s="96"/>
      <c r="S42" s="96"/>
      <c r="T42" s="96">
        <v>0</v>
      </c>
      <c r="U42" s="96"/>
      <c r="V42" s="96"/>
      <c r="W42" s="96">
        <v>0</v>
      </c>
      <c r="X42" s="96"/>
      <c r="Y42" s="96"/>
      <c r="Z42" s="96">
        <v>0</v>
      </c>
      <c r="AA42" s="88">
        <f t="shared" si="4"/>
        <v>0</v>
      </c>
    </row>
    <row r="43" spans="1:28" s="1" customFormat="1" ht="15" hidden="1" outlineLevel="1">
      <c r="A43" s="72"/>
      <c r="B43" s="72"/>
      <c r="C43" s="74" t="str">
        <f>IF(Budget!F42&lt;&gt;"",Budget!F42,"")</f>
        <v/>
      </c>
      <c r="D43" s="87"/>
      <c r="E43" s="96">
        <v>0</v>
      </c>
      <c r="F43" s="96"/>
      <c r="G43" s="96"/>
      <c r="H43" s="96">
        <v>0</v>
      </c>
      <c r="I43" s="96"/>
      <c r="J43" s="96"/>
      <c r="K43" s="96">
        <v>0</v>
      </c>
      <c r="L43" s="96"/>
      <c r="M43" s="96"/>
      <c r="N43" s="96">
        <v>0</v>
      </c>
      <c r="O43" s="96"/>
      <c r="P43" s="96"/>
      <c r="Q43" s="96">
        <v>0</v>
      </c>
      <c r="R43" s="96"/>
      <c r="S43" s="96"/>
      <c r="T43" s="96">
        <v>0</v>
      </c>
      <c r="U43" s="96"/>
      <c r="V43" s="96"/>
      <c r="W43" s="96">
        <v>0</v>
      </c>
      <c r="X43" s="96"/>
      <c r="Y43" s="96"/>
      <c r="Z43" s="96">
        <v>0</v>
      </c>
      <c r="AA43" s="88">
        <f t="shared" si="4"/>
        <v>0</v>
      </c>
    </row>
    <row r="44" spans="1:28" s="1" customFormat="1" ht="15" hidden="1" outlineLevel="1">
      <c r="A44" s="72"/>
      <c r="B44" s="72"/>
      <c r="C44" s="74" t="str">
        <f>IF(Budget!F43&lt;&gt;"",Budget!F43,"")</f>
        <v/>
      </c>
      <c r="D44" s="87"/>
      <c r="E44" s="96">
        <v>0</v>
      </c>
      <c r="F44" s="96"/>
      <c r="G44" s="96"/>
      <c r="H44" s="96">
        <v>0</v>
      </c>
      <c r="I44" s="96"/>
      <c r="J44" s="96"/>
      <c r="K44" s="96">
        <v>0</v>
      </c>
      <c r="L44" s="96"/>
      <c r="M44" s="96"/>
      <c r="N44" s="96">
        <v>0</v>
      </c>
      <c r="O44" s="96"/>
      <c r="P44" s="96"/>
      <c r="Q44" s="96">
        <v>0</v>
      </c>
      <c r="R44" s="96"/>
      <c r="S44" s="96"/>
      <c r="T44" s="96">
        <v>0</v>
      </c>
      <c r="U44" s="96"/>
      <c r="V44" s="96"/>
      <c r="W44" s="96">
        <v>0</v>
      </c>
      <c r="X44" s="96"/>
      <c r="Y44" s="96"/>
      <c r="Z44" s="96">
        <v>0</v>
      </c>
      <c r="AA44" s="88">
        <f t="shared" si="4"/>
        <v>0</v>
      </c>
      <c r="AB44" s="4"/>
    </row>
    <row r="45" spans="1:28" s="1" customFormat="1" ht="15" hidden="1" outlineLevel="1">
      <c r="A45" s="72"/>
      <c r="B45" s="72"/>
      <c r="C45" s="74" t="str">
        <f>IF(Budget!F44&lt;&gt;"",Budget!F44,"")</f>
        <v/>
      </c>
      <c r="D45" s="87"/>
      <c r="E45" s="96">
        <v>0</v>
      </c>
      <c r="F45" s="96"/>
      <c r="G45" s="96"/>
      <c r="H45" s="96">
        <v>0</v>
      </c>
      <c r="I45" s="96"/>
      <c r="J45" s="96"/>
      <c r="K45" s="96">
        <v>0</v>
      </c>
      <c r="L45" s="96"/>
      <c r="M45" s="96"/>
      <c r="N45" s="96">
        <v>0</v>
      </c>
      <c r="O45" s="96"/>
      <c r="P45" s="96"/>
      <c r="Q45" s="96">
        <v>0</v>
      </c>
      <c r="R45" s="96"/>
      <c r="S45" s="96"/>
      <c r="T45" s="96">
        <v>0</v>
      </c>
      <c r="U45" s="96"/>
      <c r="V45" s="96"/>
      <c r="W45" s="96">
        <v>0</v>
      </c>
      <c r="X45" s="96"/>
      <c r="Y45" s="96"/>
      <c r="Z45" s="96">
        <v>0</v>
      </c>
      <c r="AA45" s="88">
        <f t="shared" si="4"/>
        <v>0</v>
      </c>
    </row>
    <row r="46" spans="1:28" s="1" customFormat="1" ht="15" hidden="1" outlineLevel="1">
      <c r="A46" s="72"/>
      <c r="B46" s="72"/>
      <c r="C46" s="74" t="str">
        <f>IF(Budget!F45&lt;&gt;"",Budget!F45,"")</f>
        <v/>
      </c>
      <c r="D46" s="87"/>
      <c r="E46" s="97">
        <v>0</v>
      </c>
      <c r="F46" s="97"/>
      <c r="G46" s="97"/>
      <c r="H46" s="97">
        <v>0</v>
      </c>
      <c r="I46" s="97"/>
      <c r="J46" s="97"/>
      <c r="K46" s="97">
        <v>0</v>
      </c>
      <c r="L46" s="97"/>
      <c r="M46" s="97"/>
      <c r="N46" s="97">
        <v>0</v>
      </c>
      <c r="O46" s="97"/>
      <c r="P46" s="97"/>
      <c r="Q46" s="97">
        <v>0</v>
      </c>
      <c r="R46" s="97"/>
      <c r="S46" s="97"/>
      <c r="T46" s="97">
        <v>0</v>
      </c>
      <c r="U46" s="97"/>
      <c r="V46" s="97"/>
      <c r="W46" s="97">
        <v>0</v>
      </c>
      <c r="X46" s="97"/>
      <c r="Y46" s="97"/>
      <c r="Z46" s="97">
        <v>0</v>
      </c>
      <c r="AA46" s="88">
        <f t="shared" si="4"/>
        <v>0</v>
      </c>
    </row>
    <row r="47" spans="1:28" s="1" customFormat="1" ht="15" collapsed="1">
      <c r="A47" s="72"/>
      <c r="B47" s="74"/>
      <c r="C47" s="92" t="s">
        <v>16</v>
      </c>
      <c r="D47" s="93"/>
      <c r="E47" s="94">
        <f>SUM(E37:E46)</f>
        <v>0</v>
      </c>
      <c r="F47" s="94"/>
      <c r="G47" s="93"/>
      <c r="H47" s="94">
        <f>SUM(H37:H46)</f>
        <v>0</v>
      </c>
      <c r="I47" s="94"/>
      <c r="J47" s="93"/>
      <c r="K47" s="94">
        <f>SUM(K37:K46)</f>
        <v>0</v>
      </c>
      <c r="L47" s="94"/>
      <c r="M47" s="93"/>
      <c r="N47" s="94">
        <f>SUM(N37:N46)</f>
        <v>0</v>
      </c>
      <c r="O47" s="94"/>
      <c r="P47" s="93"/>
      <c r="Q47" s="94">
        <f>SUM(Q37:Q46)</f>
        <v>0</v>
      </c>
      <c r="R47" s="94"/>
      <c r="S47" s="94"/>
      <c r="T47" s="94"/>
      <c r="U47" s="94"/>
      <c r="V47" s="94"/>
      <c r="W47" s="94"/>
      <c r="X47" s="94"/>
      <c r="Y47" s="94"/>
      <c r="Z47" s="94"/>
      <c r="AA47" s="450">
        <f t="shared" si="4"/>
        <v>0</v>
      </c>
    </row>
    <row r="48" spans="1:28" s="1" customFormat="1" ht="15">
      <c r="A48" s="72"/>
      <c r="B48" s="74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8"/>
    </row>
    <row r="49" spans="1:27" s="1" customFormat="1" ht="15">
      <c r="A49" s="277" t="s">
        <v>217</v>
      </c>
      <c r="B49" s="277"/>
      <c r="C49" s="74" t="s">
        <v>41</v>
      </c>
      <c r="D49" s="87"/>
      <c r="E49" s="98">
        <v>0</v>
      </c>
      <c r="F49" s="98"/>
      <c r="G49" s="87"/>
      <c r="H49" s="98">
        <v>0</v>
      </c>
      <c r="I49" s="98"/>
      <c r="J49" s="87"/>
      <c r="K49" s="98">
        <v>0</v>
      </c>
      <c r="L49" s="98"/>
      <c r="M49" s="87"/>
      <c r="N49" s="98">
        <v>0</v>
      </c>
      <c r="O49" s="98"/>
      <c r="P49" s="87"/>
      <c r="Q49" s="98">
        <v>0</v>
      </c>
      <c r="R49" s="98"/>
      <c r="S49" s="98"/>
      <c r="T49" s="98">
        <v>0</v>
      </c>
      <c r="U49" s="98"/>
      <c r="V49" s="98"/>
      <c r="W49" s="98">
        <v>0</v>
      </c>
      <c r="X49" s="98"/>
      <c r="Y49" s="98"/>
      <c r="Z49" s="98">
        <v>0</v>
      </c>
      <c r="AA49" s="88">
        <f>E49+H49+K49+N49+Q49+T49+W49+Z49</f>
        <v>0</v>
      </c>
    </row>
    <row r="50" spans="1:27" s="1" customFormat="1" ht="15">
      <c r="A50" s="72"/>
      <c r="B50" s="72"/>
      <c r="C50" s="76" t="s">
        <v>149</v>
      </c>
      <c r="D50" s="99"/>
      <c r="E50" s="451">
        <f>'Effort and OPS Salary'!K21*D15*$C$15</f>
        <v>0</v>
      </c>
      <c r="F50" s="90"/>
      <c r="G50" s="90"/>
      <c r="H50" s="451">
        <f>'Effort and OPS Salary'!K22*G15*$C$15</f>
        <v>0</v>
      </c>
      <c r="I50" s="90"/>
      <c r="J50" s="90"/>
      <c r="K50" s="451">
        <f>'Effort and OPS Salary'!K23*J15*$C$15</f>
        <v>0</v>
      </c>
      <c r="L50" s="90"/>
      <c r="M50" s="90"/>
      <c r="N50" s="451">
        <f>'Effort and OPS Salary'!K24*M15*$C$15</f>
        <v>0</v>
      </c>
      <c r="O50" s="90"/>
      <c r="P50" s="90"/>
      <c r="Q50" s="451">
        <f>'Effort and OPS Salary'!K25*P15*$C$15</f>
        <v>0</v>
      </c>
      <c r="R50" s="90"/>
      <c r="S50" s="90"/>
      <c r="T50" s="451">
        <f>'Effort and OPS Salary'!N25*S15*$C$15</f>
        <v>0</v>
      </c>
      <c r="U50" s="90"/>
      <c r="V50" s="90"/>
      <c r="W50" s="451">
        <f>'Effort and OPS Salary'!Q25*V15*$C$15</f>
        <v>0</v>
      </c>
      <c r="X50" s="90"/>
      <c r="Y50" s="90"/>
      <c r="Z50" s="451">
        <f>'Effort and OPS Salary'!T25*Y15*$C$15</f>
        <v>0</v>
      </c>
      <c r="AA50" s="88">
        <f>E50+H50+K50+N50+Q50+T50+W50+Z50</f>
        <v>0</v>
      </c>
    </row>
    <row r="51" spans="1:27" s="1" customFormat="1" ht="15">
      <c r="A51" s="72"/>
      <c r="B51" s="72"/>
      <c r="C51" s="76" t="s">
        <v>83</v>
      </c>
      <c r="D51" s="87"/>
      <c r="E51" s="90">
        <v>0</v>
      </c>
      <c r="F51" s="90"/>
      <c r="G51" s="90"/>
      <c r="H51" s="90">
        <v>0</v>
      </c>
      <c r="I51" s="90"/>
      <c r="J51" s="90"/>
      <c r="K51" s="90">
        <v>0</v>
      </c>
      <c r="L51" s="90"/>
      <c r="M51" s="90"/>
      <c r="N51" s="90">
        <v>0</v>
      </c>
      <c r="O51" s="90"/>
      <c r="P51" s="90"/>
      <c r="Q51" s="90">
        <v>0</v>
      </c>
      <c r="R51" s="98"/>
      <c r="S51" s="98"/>
      <c r="T51" s="90">
        <v>0</v>
      </c>
      <c r="U51" s="90"/>
      <c r="V51" s="90"/>
      <c r="W51" s="90">
        <v>0</v>
      </c>
      <c r="X51" s="90"/>
      <c r="Y51" s="90"/>
      <c r="Z51" s="90">
        <v>0</v>
      </c>
      <c r="AA51" s="88">
        <f>E51+H51+K51+N51+Q51+T51+W51+Z51</f>
        <v>0</v>
      </c>
    </row>
    <row r="52" spans="1:27" s="1" customFormat="1" ht="15">
      <c r="A52" s="72"/>
      <c r="B52" s="72"/>
      <c r="C52" s="74" t="s">
        <v>214</v>
      </c>
      <c r="D52" s="89"/>
      <c r="E52" s="89">
        <v>0</v>
      </c>
      <c r="F52" s="89"/>
      <c r="G52" s="89"/>
      <c r="H52" s="89">
        <v>0</v>
      </c>
      <c r="I52" s="89"/>
      <c r="J52" s="89"/>
      <c r="K52" s="89">
        <v>0</v>
      </c>
      <c r="L52" s="89"/>
      <c r="M52" s="89"/>
      <c r="N52" s="89">
        <v>0</v>
      </c>
      <c r="O52" s="89"/>
      <c r="P52" s="89"/>
      <c r="Q52" s="89">
        <v>0</v>
      </c>
      <c r="R52" s="402"/>
      <c r="S52" s="403"/>
      <c r="T52" s="90">
        <v>0</v>
      </c>
      <c r="U52" s="90"/>
      <c r="V52" s="90"/>
      <c r="W52" s="90">
        <v>0</v>
      </c>
      <c r="X52" s="90"/>
      <c r="Y52" s="90"/>
      <c r="Z52" s="90">
        <v>0</v>
      </c>
      <c r="AA52" s="88">
        <f>E52+H52+K52+N52+Q52+T52+W52+Z52</f>
        <v>0</v>
      </c>
    </row>
    <row r="53" spans="1:27" s="1" customFormat="1" ht="15">
      <c r="A53" s="72"/>
      <c r="B53" s="74"/>
      <c r="C53" s="92" t="s">
        <v>17</v>
      </c>
      <c r="D53" s="100"/>
      <c r="E53" s="94">
        <f>SUM(E49:E51)</f>
        <v>0</v>
      </c>
      <c r="F53" s="94"/>
      <c r="G53" s="100"/>
      <c r="H53" s="94">
        <f>SUM(H49:H51)</f>
        <v>0</v>
      </c>
      <c r="I53" s="94"/>
      <c r="J53" s="100"/>
      <c r="K53" s="94">
        <f>SUM(K49:K51)</f>
        <v>0</v>
      </c>
      <c r="L53" s="94"/>
      <c r="M53" s="100"/>
      <c r="N53" s="94">
        <f>SUM(N49:N51)</f>
        <v>0</v>
      </c>
      <c r="O53" s="94"/>
      <c r="P53" s="100"/>
      <c r="Q53" s="94">
        <f>SUM(Q49:Q51)</f>
        <v>0</v>
      </c>
      <c r="R53" s="94"/>
      <c r="S53" s="94"/>
      <c r="T53" s="449">
        <f>SUM(T49:T52)</f>
        <v>0</v>
      </c>
      <c r="U53" s="449"/>
      <c r="V53" s="449"/>
      <c r="W53" s="449">
        <f>SUM(W49:W52)</f>
        <v>0</v>
      </c>
      <c r="X53" s="449"/>
      <c r="Y53" s="449"/>
      <c r="Z53" s="449">
        <f>SUM(Z49:Z51)</f>
        <v>0</v>
      </c>
      <c r="AA53" s="450">
        <f>E53+H53+K53+N53+Q53+T53+W53+Z53</f>
        <v>0</v>
      </c>
    </row>
    <row r="54" spans="1:27" s="1" customFormat="1" ht="15">
      <c r="A54" s="72"/>
      <c r="B54" s="74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8"/>
    </row>
    <row r="55" spans="1:27" s="1" customFormat="1" ht="15">
      <c r="A55" s="75" t="s">
        <v>33</v>
      </c>
      <c r="B55" s="77"/>
      <c r="C55" s="92" t="s">
        <v>34</v>
      </c>
      <c r="D55" s="93"/>
      <c r="E55" s="94">
        <f>E34+E47+E53</f>
        <v>0</v>
      </c>
      <c r="F55" s="94"/>
      <c r="G55" s="93"/>
      <c r="H55" s="94">
        <f>H34+H47+H53</f>
        <v>0</v>
      </c>
      <c r="I55" s="94"/>
      <c r="J55" s="93"/>
      <c r="K55" s="94">
        <f>K34+K47+K53</f>
        <v>0</v>
      </c>
      <c r="L55" s="94"/>
      <c r="M55" s="93"/>
      <c r="N55" s="94">
        <f>N34+N47+N53</f>
        <v>0</v>
      </c>
      <c r="O55" s="94"/>
      <c r="P55" s="93"/>
      <c r="Q55" s="94">
        <f>Q34+Q47+Q53</f>
        <v>0</v>
      </c>
      <c r="R55" s="94"/>
      <c r="S55" s="94"/>
      <c r="T55" s="94">
        <f>T34+T47+T53</f>
        <v>0</v>
      </c>
      <c r="U55" s="94"/>
      <c r="V55" s="94"/>
      <c r="W55" s="94">
        <f>W34+W47+W53</f>
        <v>0</v>
      </c>
      <c r="X55" s="94"/>
      <c r="Y55" s="94"/>
      <c r="Z55" s="94">
        <f>Z34+Z47+Z53</f>
        <v>0</v>
      </c>
      <c r="AA55" s="88">
        <f>SUM(E55,H55,K55,N55,Q55,T55,W55,Z55)</f>
        <v>0</v>
      </c>
    </row>
    <row r="56" spans="1:27" s="1" customFormat="1" ht="15">
      <c r="A56" s="78"/>
      <c r="B56" s="79"/>
      <c r="C56" s="103"/>
      <c r="D56" s="101"/>
      <c r="E56" s="104"/>
      <c r="F56" s="104"/>
      <c r="G56" s="101"/>
      <c r="H56" s="104"/>
      <c r="I56" s="104"/>
      <c r="J56" s="101"/>
      <c r="K56" s="104"/>
      <c r="L56" s="104"/>
      <c r="M56" s="101"/>
      <c r="N56" s="104"/>
      <c r="O56" s="104"/>
      <c r="P56" s="101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88"/>
    </row>
    <row r="57" spans="1:27" s="1" customFormat="1" ht="15">
      <c r="A57" s="73" t="s">
        <v>85</v>
      </c>
      <c r="B57" s="80"/>
      <c r="C57" s="105"/>
      <c r="D57" s="105"/>
      <c r="E57" s="88">
        <v>0</v>
      </c>
      <c r="F57" s="105"/>
      <c r="G57" s="105"/>
      <c r="H57" s="88">
        <v>0</v>
      </c>
      <c r="I57" s="105"/>
      <c r="J57" s="105"/>
      <c r="K57" s="88">
        <v>0</v>
      </c>
      <c r="L57" s="105"/>
      <c r="M57" s="105"/>
      <c r="N57" s="88">
        <v>0</v>
      </c>
      <c r="O57" s="105"/>
      <c r="P57" s="105"/>
      <c r="Q57" s="88">
        <v>0</v>
      </c>
      <c r="R57" s="88"/>
      <c r="S57" s="88"/>
      <c r="T57" s="88">
        <v>0</v>
      </c>
      <c r="U57" s="88"/>
      <c r="V57" s="88"/>
      <c r="W57" s="88">
        <v>0</v>
      </c>
      <c r="X57" s="88"/>
      <c r="Y57" s="88"/>
      <c r="Z57" s="88">
        <v>0</v>
      </c>
      <c r="AA57" s="88">
        <f>SUM(E57,H57,K57,N57,Q57,T57,W57,Z57)</f>
        <v>0</v>
      </c>
    </row>
    <row r="58" spans="1:27" s="1" customFormat="1" ht="15">
      <c r="A58" s="78"/>
      <c r="B58" s="79"/>
      <c r="C58" s="103"/>
      <c r="D58" s="101"/>
      <c r="E58" s="104"/>
      <c r="F58" s="104"/>
      <c r="G58" s="101"/>
      <c r="H58" s="104"/>
      <c r="I58" s="104"/>
      <c r="J58" s="101"/>
      <c r="K58" s="104"/>
      <c r="L58" s="104"/>
      <c r="M58" s="101"/>
      <c r="N58" s="104"/>
      <c r="O58" s="104"/>
      <c r="P58" s="101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88"/>
    </row>
    <row r="59" spans="1:27" s="1" customFormat="1" ht="15">
      <c r="A59" s="81" t="s">
        <v>86</v>
      </c>
      <c r="B59" s="82"/>
      <c r="C59" s="106"/>
      <c r="D59" s="106"/>
      <c r="E59" s="107">
        <f>E57-E55</f>
        <v>0</v>
      </c>
      <c r="F59" s="106"/>
      <c r="G59" s="106"/>
      <c r="H59" s="107">
        <f>H57-H55</f>
        <v>0</v>
      </c>
      <c r="I59" s="106"/>
      <c r="J59" s="106"/>
      <c r="K59" s="108">
        <f>K57-K55</f>
        <v>0</v>
      </c>
      <c r="L59" s="106"/>
      <c r="M59" s="106"/>
      <c r="N59" s="108">
        <f>N57-N55</f>
        <v>0</v>
      </c>
      <c r="O59" s="106"/>
      <c r="P59" s="106"/>
      <c r="Q59" s="108">
        <f>Q57-Q55</f>
        <v>0</v>
      </c>
      <c r="R59" s="108"/>
      <c r="S59" s="108"/>
      <c r="T59" s="108">
        <f>T57-T55</f>
        <v>0</v>
      </c>
      <c r="U59" s="108"/>
      <c r="V59" s="108"/>
      <c r="W59" s="108">
        <f>W57-W55</f>
        <v>0</v>
      </c>
      <c r="X59" s="108"/>
      <c r="Y59" s="108"/>
      <c r="Z59" s="108">
        <f>Z57-Z55</f>
        <v>0</v>
      </c>
      <c r="AA59" s="88">
        <f>SUM(E59,H59,K59,N59,Q59,T59,W59,Z59)</f>
        <v>0</v>
      </c>
    </row>
    <row r="60" spans="1:27" s="1" customFormat="1" ht="15">
      <c r="A60" s="78"/>
      <c r="B60" s="79"/>
      <c r="C60" s="103"/>
      <c r="D60" s="101"/>
      <c r="E60" s="104"/>
      <c r="F60" s="104"/>
      <c r="G60" s="101"/>
      <c r="H60" s="104"/>
      <c r="I60" s="104"/>
      <c r="J60" s="101"/>
      <c r="K60" s="104"/>
      <c r="L60" s="104"/>
      <c r="M60" s="101"/>
      <c r="N60" s="104"/>
      <c r="O60" s="104"/>
      <c r="P60" s="101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88"/>
    </row>
    <row r="61" spans="1:27" s="1" customFormat="1" ht="15">
      <c r="A61" s="74"/>
      <c r="B61" s="74"/>
      <c r="C61" s="87"/>
      <c r="D61" s="69"/>
      <c r="E61" s="91"/>
      <c r="F61" s="91"/>
      <c r="G61" s="69"/>
      <c r="H61" s="91"/>
      <c r="I61" s="91"/>
      <c r="J61" s="69"/>
      <c r="K61" s="91"/>
      <c r="L61" s="91"/>
      <c r="M61" s="69"/>
      <c r="N61" s="91"/>
      <c r="O61" s="91"/>
      <c r="P61" s="69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88"/>
    </row>
    <row r="62" spans="1:27" s="1" customFormat="1" ht="15">
      <c r="A62" s="83" t="s">
        <v>35</v>
      </c>
      <c r="B62" s="84"/>
      <c r="C62" s="111" t="s">
        <v>36</v>
      </c>
      <c r="D62" s="109"/>
      <c r="E62" s="68">
        <f>E55-E53</f>
        <v>0</v>
      </c>
      <c r="F62" s="68"/>
      <c r="G62" s="109"/>
      <c r="H62" s="68">
        <f>H55-H53</f>
        <v>0</v>
      </c>
      <c r="I62" s="68"/>
      <c r="J62" s="109"/>
      <c r="K62" s="68">
        <f>K55-K53</f>
        <v>0</v>
      </c>
      <c r="L62" s="68"/>
      <c r="M62" s="109"/>
      <c r="N62" s="68">
        <f>N55-N53</f>
        <v>0</v>
      </c>
      <c r="O62" s="68"/>
      <c r="P62" s="109"/>
      <c r="Q62" s="68">
        <f>Q55-Q53</f>
        <v>0</v>
      </c>
      <c r="R62" s="68"/>
      <c r="S62" s="68"/>
      <c r="T62" s="68">
        <f>T55-T53</f>
        <v>0</v>
      </c>
      <c r="U62" s="68"/>
      <c r="V62" s="68"/>
      <c r="W62" s="68">
        <f>W55-W53</f>
        <v>0</v>
      </c>
      <c r="X62" s="68"/>
      <c r="Y62" s="68"/>
      <c r="Z62" s="68">
        <f>Z55-Z53</f>
        <v>0</v>
      </c>
      <c r="AA62" s="88">
        <f>SUM(E62,H62,K62,N62,Q62,T62,W62,Z62)</f>
        <v>0</v>
      </c>
    </row>
    <row r="63" spans="1:27" s="1" customFormat="1" ht="15">
      <c r="A63" s="72"/>
      <c r="B63" s="74"/>
      <c r="C63" s="69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8"/>
    </row>
    <row r="64" spans="1:27" s="1" customFormat="1" ht="15">
      <c r="A64" s="83" t="s">
        <v>24</v>
      </c>
      <c r="B64" s="84"/>
      <c r="C64" s="112" t="s">
        <v>18</v>
      </c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8"/>
    </row>
    <row r="65" spans="1:29" s="1" customFormat="1" ht="15">
      <c r="A65" s="74"/>
      <c r="B65" s="74"/>
      <c r="C65" s="279">
        <f>Budget!F64</f>
        <v>0.52500000000000002</v>
      </c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8"/>
    </row>
    <row r="66" spans="1:29" s="1" customFormat="1" ht="15">
      <c r="A66" s="74"/>
      <c r="B66" s="74"/>
      <c r="C66" s="111" t="s">
        <v>19</v>
      </c>
      <c r="D66" s="110"/>
      <c r="E66" s="68">
        <f>E62*$C65</f>
        <v>0</v>
      </c>
      <c r="F66" s="110"/>
      <c r="G66" s="110"/>
      <c r="H66" s="68">
        <f>H62*$C65</f>
        <v>0</v>
      </c>
      <c r="I66" s="110"/>
      <c r="J66" s="110"/>
      <c r="K66" s="68">
        <f>K62*$C65</f>
        <v>0</v>
      </c>
      <c r="L66" s="110"/>
      <c r="M66" s="110"/>
      <c r="N66" s="68">
        <f>N62*$C65</f>
        <v>0</v>
      </c>
      <c r="O66" s="110"/>
      <c r="P66" s="110"/>
      <c r="Q66" s="68">
        <f>Q62*$C65</f>
        <v>0</v>
      </c>
      <c r="R66" s="68"/>
      <c r="S66" s="68"/>
      <c r="T66" s="68">
        <f>T62*$C65</f>
        <v>0</v>
      </c>
      <c r="U66" s="68"/>
      <c r="V66" s="68"/>
      <c r="W66" s="68">
        <f>W62*$C65</f>
        <v>0</v>
      </c>
      <c r="X66" s="68"/>
      <c r="Y66" s="68"/>
      <c r="Z66" s="68">
        <f>Z62*$C65</f>
        <v>0</v>
      </c>
      <c r="AA66" s="88">
        <f>SUM(E66,H66,K66,N66,Q66,T66,W66,Z66)</f>
        <v>0</v>
      </c>
    </row>
    <row r="67" spans="1:29" s="1" customFormat="1" ht="15">
      <c r="A67" s="74"/>
      <c r="B67" s="74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8"/>
    </row>
    <row r="68" spans="1:29" s="1" customFormat="1" ht="15">
      <c r="A68" s="74"/>
      <c r="B68" s="74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8"/>
    </row>
    <row r="69" spans="1:29" s="1" customFormat="1" ht="15">
      <c r="A69" s="73" t="s">
        <v>20</v>
      </c>
      <c r="B69" s="80"/>
      <c r="C69" s="105"/>
      <c r="D69" s="105"/>
      <c r="E69" s="88">
        <f>E55+E66</f>
        <v>0</v>
      </c>
      <c r="F69" s="88"/>
      <c r="G69" s="105"/>
      <c r="H69" s="88">
        <f>H55+H66</f>
        <v>0</v>
      </c>
      <c r="I69" s="88"/>
      <c r="J69" s="105"/>
      <c r="K69" s="88">
        <f>K55+K66</f>
        <v>0</v>
      </c>
      <c r="L69" s="88"/>
      <c r="M69" s="105"/>
      <c r="N69" s="88">
        <f>N55+N66</f>
        <v>0</v>
      </c>
      <c r="O69" s="88"/>
      <c r="P69" s="105"/>
      <c r="Q69" s="88">
        <f>Q55+Q66</f>
        <v>0</v>
      </c>
      <c r="R69" s="88"/>
      <c r="S69" s="88"/>
      <c r="T69" s="88">
        <f>T55+T66</f>
        <v>0</v>
      </c>
      <c r="U69" s="88"/>
      <c r="V69" s="88"/>
      <c r="W69" s="88">
        <f>W55+W66</f>
        <v>0</v>
      </c>
      <c r="X69" s="88"/>
      <c r="Y69" s="88"/>
      <c r="Z69" s="88">
        <f>Z55+Z66</f>
        <v>0</v>
      </c>
      <c r="AA69" s="88">
        <f>SUM(E69,H69,K69,N69,Q69,T69,W69,Z69)</f>
        <v>0</v>
      </c>
      <c r="AB69" s="102"/>
    </row>
    <row r="70" spans="1:29" s="1" customFormat="1" ht="15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102"/>
    </row>
    <row r="71" spans="1:29" s="1" customFormat="1" ht="15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66"/>
    </row>
    <row r="72" spans="1:29">
      <c r="A72" s="1"/>
      <c r="B72" s="1"/>
      <c r="C72" s="1"/>
      <c r="D72" s="1"/>
      <c r="E72" s="1"/>
      <c r="F72" s="3"/>
      <c r="G72" s="3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5"/>
    </row>
    <row r="73" spans="1:29">
      <c r="A73" s="113"/>
      <c r="B73" s="113"/>
      <c r="C73" s="113"/>
      <c r="D73" s="11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5"/>
    </row>
    <row r="74" spans="1:29">
      <c r="A74" s="4"/>
      <c r="B74" s="15"/>
      <c r="C74" s="15"/>
      <c r="D74" s="15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5"/>
    </row>
    <row r="75" spans="1:29">
      <c r="A75" s="4"/>
      <c r="B75" s="16"/>
      <c r="C75" s="16"/>
      <c r="D75" s="16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5"/>
    </row>
    <row r="76" spans="1:29">
      <c r="A76" s="4"/>
      <c r="B76" s="16"/>
      <c r="C76" s="16"/>
      <c r="D76" s="16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5"/>
    </row>
    <row r="77" spans="1:29">
      <c r="A77" s="4"/>
      <c r="B77" s="16"/>
      <c r="C77" s="16"/>
      <c r="D77" s="16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5"/>
    </row>
    <row r="78" spans="1:29">
      <c r="A78" s="4"/>
      <c r="B78" s="16"/>
      <c r="C78" s="16"/>
      <c r="D78" s="16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5"/>
    </row>
    <row r="79" spans="1:29">
      <c r="A79" s="4"/>
      <c r="B79" s="16"/>
      <c r="C79" s="16"/>
      <c r="D79" s="16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5"/>
    </row>
    <row r="80" spans="1:29">
      <c r="A80" s="4"/>
      <c r="B80" s="16"/>
      <c r="C80" s="16"/>
      <c r="D80" s="16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5"/>
      <c r="AC80" s="5"/>
    </row>
    <row r="81" spans="1:29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1:29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1:29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1:29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1:29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1:29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1:29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1:29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1:29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1:29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1:29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1:29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1:29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1:29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1:29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spans="1:29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spans="1:29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1:29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1:29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1:29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1:29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1:29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1:29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1:29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1:29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1:29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1:29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1:29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1:29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1:29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1:29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1:29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1:29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1:29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1:29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29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1:29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1:29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1:29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1:29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1:29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1:29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1:29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1:29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1:29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1:29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1:29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spans="1:29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spans="1:29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 spans="1:29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 spans="1:29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 spans="1:29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spans="1:29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 spans="1:29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 spans="1:29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spans="1:29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1:29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1:29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1:29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1:29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1:29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1:29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1:29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1:29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1:29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1:29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1:29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1:29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1:29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1:29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1:29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spans="1:29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</row>
    <row r="153" spans="1:29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</row>
    <row r="154" spans="1:29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</row>
    <row r="155" spans="1:29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</row>
    <row r="156" spans="1:29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</row>
    <row r="157" spans="1:29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</row>
    <row r="158" spans="1:29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</row>
    <row r="159" spans="1:29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</row>
    <row r="160" spans="1:29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</row>
    <row r="161" spans="1:29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</row>
    <row r="162" spans="1:29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</row>
    <row r="163" spans="1:29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</row>
    <row r="164" spans="1:29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</row>
    <row r="165" spans="1:29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</row>
    <row r="166" spans="1:29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</row>
    <row r="167" spans="1:29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</row>
    <row r="168" spans="1:29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</row>
    <row r="169" spans="1:29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</row>
    <row r="170" spans="1:29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</row>
    <row r="171" spans="1:29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</row>
    <row r="172" spans="1:29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</row>
    <row r="173" spans="1:29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</row>
    <row r="174" spans="1:29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</row>
    <row r="175" spans="1:29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</row>
    <row r="176" spans="1:29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</row>
    <row r="177" spans="1:29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 spans="1:29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</row>
    <row r="179" spans="1:29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</row>
    <row r="180" spans="1:29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</row>
    <row r="181" spans="1:29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spans="1:29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</row>
    <row r="183" spans="1:29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</row>
    <row r="184" spans="1:29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</row>
    <row r="185" spans="1:29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</row>
    <row r="186" spans="1:29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</row>
    <row r="187" spans="1:29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</row>
    <row r="188" spans="1:29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</row>
    <row r="189" spans="1:29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</row>
    <row r="190" spans="1:29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</row>
    <row r="191" spans="1:29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</row>
    <row r="192" spans="1:29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</row>
    <row r="193" spans="1:29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</row>
    <row r="194" spans="1:29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</row>
    <row r="195" spans="1:29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</row>
    <row r="196" spans="1:29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</row>
    <row r="197" spans="1:29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</row>
    <row r="198" spans="1:29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</row>
    <row r="199" spans="1:29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</row>
    <row r="200" spans="1:29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</row>
    <row r="201" spans="1:29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</row>
    <row r="202" spans="1:29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</row>
    <row r="203" spans="1:29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</row>
    <row r="204" spans="1:29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</row>
    <row r="205" spans="1:29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</row>
    <row r="206" spans="1:29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</row>
    <row r="207" spans="1:29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</row>
    <row r="208" spans="1:29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</row>
    <row r="209" spans="1:29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</row>
    <row r="210" spans="1:29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</row>
    <row r="211" spans="1:29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</row>
    <row r="212" spans="1:29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</row>
    <row r="213" spans="1:29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</row>
    <row r="214" spans="1:29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</row>
    <row r="215" spans="1:29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</row>
    <row r="216" spans="1:29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</row>
    <row r="217" spans="1:29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</row>
    <row r="218" spans="1:29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</row>
    <row r="219" spans="1:29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</row>
    <row r="220" spans="1:29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</row>
    <row r="221" spans="1:29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</row>
    <row r="222" spans="1:29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</row>
    <row r="223" spans="1:29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</row>
    <row r="224" spans="1:29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</row>
    <row r="225" spans="1:29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</row>
    <row r="226" spans="1:29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</row>
    <row r="227" spans="1:29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</row>
    <row r="228" spans="1:29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</row>
    <row r="229" spans="1:29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</row>
    <row r="230" spans="1:29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</row>
    <row r="231" spans="1:29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</row>
    <row r="232" spans="1:29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</row>
    <row r="233" spans="1:29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</row>
    <row r="234" spans="1:29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</row>
    <row r="235" spans="1:29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</row>
    <row r="236" spans="1:29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</row>
    <row r="237" spans="1:29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</row>
    <row r="238" spans="1:29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</row>
    <row r="239" spans="1:29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</row>
    <row r="240" spans="1:29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</row>
    <row r="241" spans="1:29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</row>
    <row r="242" spans="1:29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</row>
    <row r="243" spans="1:29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</row>
    <row r="244" spans="1:29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</row>
    <row r="245" spans="1:29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</row>
    <row r="246" spans="1:29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</row>
    <row r="247" spans="1:29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</row>
    <row r="248" spans="1:29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</row>
    <row r="249" spans="1:29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</row>
    <row r="250" spans="1:29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</row>
    <row r="251" spans="1:29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</row>
    <row r="252" spans="1:29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</row>
    <row r="253" spans="1:29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</row>
    <row r="254" spans="1:29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</row>
    <row r="255" spans="1:29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</row>
    <row r="256" spans="1:29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</row>
    <row r="257" spans="1:29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</row>
    <row r="258" spans="1:29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</row>
    <row r="259" spans="1:29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</row>
    <row r="260" spans="1:29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</row>
    <row r="261" spans="1:29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</row>
    <row r="262" spans="1:29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</row>
    <row r="263" spans="1:29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</row>
    <row r="264" spans="1:29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</row>
    <row r="265" spans="1:29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</row>
    <row r="266" spans="1:29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</row>
    <row r="267" spans="1:29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</row>
    <row r="268" spans="1:29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</row>
    <row r="269" spans="1:29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</row>
    <row r="270" spans="1:29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</row>
    <row r="271" spans="1:29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</row>
    <row r="272" spans="1:29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</row>
    <row r="273" spans="1:29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</row>
    <row r="274" spans="1:29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</row>
    <row r="275" spans="1:29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</row>
    <row r="276" spans="1:29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</row>
    <row r="277" spans="1:29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</row>
    <row r="278" spans="1:29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</row>
    <row r="279" spans="1:29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</row>
    <row r="280" spans="1:29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</row>
    <row r="281" spans="1:29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</row>
    <row r="282" spans="1:29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</row>
    <row r="283" spans="1:29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</row>
    <row r="284" spans="1:29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</row>
    <row r="285" spans="1:29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</row>
    <row r="286" spans="1:29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</row>
    <row r="287" spans="1:29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</row>
    <row r="288" spans="1:29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</row>
    <row r="289" spans="1:29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</row>
    <row r="290" spans="1:29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</row>
    <row r="291" spans="1:29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</row>
    <row r="292" spans="1:29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</row>
    <row r="293" spans="1:29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</row>
    <row r="294" spans="1:29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</row>
    <row r="295" spans="1:29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</row>
    <row r="296" spans="1:29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</row>
    <row r="297" spans="1:29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</row>
    <row r="298" spans="1:29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</row>
    <row r="299" spans="1:29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</row>
    <row r="300" spans="1:29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</row>
    <row r="301" spans="1:29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</row>
    <row r="302" spans="1:29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</row>
    <row r="303" spans="1:29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</row>
    <row r="304" spans="1:29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</row>
    <row r="305" spans="1:29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</row>
    <row r="306" spans="1:29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</row>
    <row r="307" spans="1:29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</row>
    <row r="308" spans="1:29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</row>
    <row r="309" spans="1:29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</row>
    <row r="310" spans="1:29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</row>
    <row r="311" spans="1:29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</row>
    <row r="312" spans="1:29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</row>
    <row r="313" spans="1:29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</row>
    <row r="314" spans="1:29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</row>
    <row r="315" spans="1:29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</row>
    <row r="316" spans="1:29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</row>
    <row r="317" spans="1:29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</row>
    <row r="318" spans="1:29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</row>
    <row r="319" spans="1:29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</row>
    <row r="320" spans="1:29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</sheetData>
  <mergeCells count="32">
    <mergeCell ref="R8:T8"/>
    <mergeCell ref="U8:W8"/>
    <mergeCell ref="X8:Z8"/>
    <mergeCell ref="C9:E9"/>
    <mergeCell ref="F9:H9"/>
    <mergeCell ref="I9:K9"/>
    <mergeCell ref="L9:N9"/>
    <mergeCell ref="O9:Q9"/>
    <mergeCell ref="R9:T9"/>
    <mergeCell ref="U9:W9"/>
    <mergeCell ref="X9:Z9"/>
    <mergeCell ref="C8:E8"/>
    <mergeCell ref="F8:H8"/>
    <mergeCell ref="I8:K8"/>
    <mergeCell ref="L8:N8"/>
    <mergeCell ref="O8:Q8"/>
    <mergeCell ref="C10:E10"/>
    <mergeCell ref="F10:H10"/>
    <mergeCell ref="I10:K10"/>
    <mergeCell ref="L10:N10"/>
    <mergeCell ref="O10:Q10"/>
    <mergeCell ref="R10:T10"/>
    <mergeCell ref="U10:W10"/>
    <mergeCell ref="X10:Z10"/>
    <mergeCell ref="AP15:AQ15"/>
    <mergeCell ref="AR15:AS15"/>
    <mergeCell ref="AD15:AE15"/>
    <mergeCell ref="AF15:AG15"/>
    <mergeCell ref="AH15:AI15"/>
    <mergeCell ref="AJ15:AK15"/>
    <mergeCell ref="AL15:AM15"/>
    <mergeCell ref="AN15:AO15"/>
  </mergeCells>
  <dataValidations count="1">
    <dataValidation type="list" showInputMessage="1" showErrorMessage="1" promptTitle="NIH Salary Cap: " prompt="FY19 - $192,300" sqref="B4" xr:uid="{00000000-0002-0000-0800-000000000000}">
      <formula1>"$192300, none"</formula1>
    </dataValidation>
  </dataValidations>
  <hyperlinks>
    <hyperlink ref="A26" r:id="rId1" display="FRINGES:" xr:uid="{00000000-0004-0000-0800-000000000000}"/>
    <hyperlink ref="A64" r:id="rId2" xr:uid="{00000000-0004-0000-0800-000001000000}"/>
    <hyperlink ref="A4" r:id="rId3" xr:uid="{00000000-0004-0000-0800-000002000000}"/>
    <hyperlink ref="A11" r:id="rId4" xr:uid="{00000000-0004-0000-0800-000003000000}"/>
    <hyperlink ref="C50" r:id="rId5" xr:uid="{00000000-0004-0000-0800-000004000000}"/>
    <hyperlink ref="C51" r:id="rId6" xr:uid="{00000000-0004-0000-0800-000005000000}"/>
    <hyperlink ref="B17" r:id="rId7" xr:uid="{00000000-0004-0000-0800-000006000000}"/>
  </hyperlinks>
  <pageMargins left="0.75" right="0.75" top="1" bottom="1" header="0.5" footer="0.5"/>
  <pageSetup scale="43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Budget</vt:lpstr>
      <vt:lpstr>Effort and OPS Salary</vt:lpstr>
      <vt:lpstr>Projections</vt:lpstr>
      <vt:lpstr>Cost Summary</vt:lpstr>
      <vt:lpstr>PI</vt:lpstr>
      <vt:lpstr>Co-I</vt:lpstr>
      <vt:lpstr>Co-I2</vt:lpstr>
      <vt:lpstr>Co-I3</vt:lpstr>
      <vt:lpstr>Co-I4</vt:lpstr>
      <vt:lpstr>Appt</vt:lpstr>
      <vt:lpstr>CAP</vt:lpstr>
      <vt:lpstr>CAPS</vt:lpstr>
      <vt:lpstr>End</vt:lpstr>
      <vt:lpstr>Start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ACarver@dental.ufl.edu</dc:creator>
  <cp:lastModifiedBy>Ashley Carver</cp:lastModifiedBy>
  <cp:lastPrinted>2015-12-07T14:24:46Z</cp:lastPrinted>
  <dcterms:created xsi:type="dcterms:W3CDTF">2014-09-25T15:44:03Z</dcterms:created>
  <dcterms:modified xsi:type="dcterms:W3CDTF">2021-09-07T14:54:13Z</dcterms:modified>
</cp:coreProperties>
</file>